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vybrané sloupce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<sst xmlns="http://schemas.openxmlformats.org/spreadsheetml/2006/main" count="800" uniqueCount="285">
  <si>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</si>
  <si>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</si>
  <si>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</si>
  <si>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</si>
  <si>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</si>
  <si>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</si>
  <si>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</si>
  <si>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</si>
  <si>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</si>
  <si>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</si>
  <si>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</si>
  <si>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</si>
  <si>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</si>
  <si>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</si>
  <si>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</si>
  <si>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</si>
  <si>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</si>
  <si>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</si>
  <si>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</si>
  <si>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</si>
  <si>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</si>
  <si>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</si>
  <si>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</si>
  <si>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</si>
  <si>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</si>
  <si>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</si>
  <si>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</si>
  <si>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</si>
  <si>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</si>
  <si>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</si>
  <si>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</si>
  <si>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</si>
  <si>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</si>
  <si>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</si>
  <si>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</si>
  <si>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</si>
  <si>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</si>
  <si>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</si>
  <si>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</si>
  <si>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</si>
  <si>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</si>
  <si>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</si>
  <si>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Poznámka:</t>
  </si>
  <si>
    <t>Památkově chráněno
Upraveno :  leden 2017</t>
  </si>
  <si>
    <t>Kód</t>
  </si>
  <si>
    <t>113105111R00</t>
  </si>
  <si>
    <t>122101101R00</t>
  </si>
  <si>
    <t>212993111R00</t>
  </si>
  <si>
    <t>317235811R00</t>
  </si>
  <si>
    <t>59</t>
  </si>
  <si>
    <t>594111111R00</t>
  </si>
  <si>
    <t>62</t>
  </si>
  <si>
    <t>622412224RT1</t>
  </si>
  <si>
    <t>622421144R00</t>
  </si>
  <si>
    <t>620991121R00</t>
  </si>
  <si>
    <t>620451211RT2</t>
  </si>
  <si>
    <t>620902129R00</t>
  </si>
  <si>
    <t>622434133RT1</t>
  </si>
  <si>
    <t>622471318RS3</t>
  </si>
  <si>
    <t>627452641R00</t>
  </si>
  <si>
    <t>622471931R00</t>
  </si>
  <si>
    <t>622904115R00</t>
  </si>
  <si>
    <t>711</t>
  </si>
  <si>
    <t>711482011RZ1</t>
  </si>
  <si>
    <t>764</t>
  </si>
  <si>
    <t>764454202R00</t>
  </si>
  <si>
    <t>764248934R00</t>
  </si>
  <si>
    <t>766</t>
  </si>
  <si>
    <t>766629301R00</t>
  </si>
  <si>
    <t>766421212R00</t>
  </si>
  <si>
    <t>783</t>
  </si>
  <si>
    <t>783942502RT2</t>
  </si>
  <si>
    <t>783671103R00</t>
  </si>
  <si>
    <t>87</t>
  </si>
  <si>
    <t>871219113R00</t>
  </si>
  <si>
    <t>90</t>
  </si>
  <si>
    <t>900      R01</t>
  </si>
  <si>
    <t>94</t>
  </si>
  <si>
    <t>941941031R00</t>
  </si>
  <si>
    <t>941941191R00</t>
  </si>
  <si>
    <t>941941831R00</t>
  </si>
  <si>
    <t>96</t>
  </si>
  <si>
    <t>968062354R00</t>
  </si>
  <si>
    <t>97</t>
  </si>
  <si>
    <t>978015291R00</t>
  </si>
  <si>
    <t>978023411R00</t>
  </si>
  <si>
    <t>976082131R00</t>
  </si>
  <si>
    <t>H</t>
  </si>
  <si>
    <t>979083116R00</t>
  </si>
  <si>
    <t>28611223</t>
  </si>
  <si>
    <t>583318004</t>
  </si>
  <si>
    <t>998011002R00</t>
  </si>
  <si>
    <t>Školní 125</t>
  </si>
  <si>
    <t>Oprava fasády</t>
  </si>
  <si>
    <t>Chrastava</t>
  </si>
  <si>
    <t>Zkrácený popis</t>
  </si>
  <si>
    <t>Rozměry</t>
  </si>
  <si>
    <t>Přípravné a přidružené práce</t>
  </si>
  <si>
    <t>Rozebrání dlažeb z lomového kamene na sucho</t>
  </si>
  <si>
    <t>Odkopávky a prokopávky</t>
  </si>
  <si>
    <t>Odkopávky nezapažené v hor. 2 do 100 m3</t>
  </si>
  <si>
    <t>9*4*0,6*0,4 =   2,256  sesuv za objektem
11,5*0,6*0,4 =2,76         stěna silnice
22*0,6*0,4 = 5,28            přední stěna
13*0,6 *0,4=  3,12              zadní stěna
13,416+1,34 =14,756m3 * 1,8 =26,56 t</t>
  </si>
  <si>
    <t>Úprava podloží a základové spáry</t>
  </si>
  <si>
    <t>Obnova odv.kanálu u štítu</t>
  </si>
  <si>
    <t>vč.odvodnění</t>
  </si>
  <si>
    <t>Zdi podpěrné a volné</t>
  </si>
  <si>
    <t>Doplnění profilu korunních říms</t>
  </si>
  <si>
    <t>Dlažby a předlažby pozemních komunikací a zpevněných ploch</t>
  </si>
  <si>
    <t>Dlažba z lomového kamene,lože z kam.těž.do 5 cm</t>
  </si>
  <si>
    <t>Úprava povrchů vnější</t>
  </si>
  <si>
    <t>Nátěr stěn soklu sanační</t>
  </si>
  <si>
    <t>paropropusný nátěr</t>
  </si>
  <si>
    <t>Omítka vnější stěn, MV, štuková, složitost 3</t>
  </si>
  <si>
    <t>Výměra bude upřesněna po odsouhlasení památkářů</t>
  </si>
  <si>
    <t>Zakrývání výplní vnějších otvorů z lešení</t>
  </si>
  <si>
    <t>Postřik izolací nebo konstrukcí vnějších, MC</t>
  </si>
  <si>
    <t>výměra bude upravena dle památkářů</t>
  </si>
  <si>
    <t>Kamenické opracování prvků na fasádě</t>
  </si>
  <si>
    <t xml:space="preserve">parapety, vstupní portál
</t>
  </si>
  <si>
    <t>Omítkový sanační systém soklu</t>
  </si>
  <si>
    <t>např. WEBER.san WTA</t>
  </si>
  <si>
    <t>Nátěr nebo nástřik stěn vnějších, složitost 3 - 4</t>
  </si>
  <si>
    <t>např. HERBOL</t>
  </si>
  <si>
    <t>Oprava spárování komínového zdiva</t>
  </si>
  <si>
    <t>Příplatek za vícebarevné provádění</t>
  </si>
  <si>
    <t>Očištění fasád tlakovou vodou složitost 3 - 5</t>
  </si>
  <si>
    <t>Izolace proti vodě</t>
  </si>
  <si>
    <t>Izolační systém fólií s nopy.</t>
  </si>
  <si>
    <t>52 * 1 = 52 + 10% = 57,2</t>
  </si>
  <si>
    <t>Konstrukce klempířské</t>
  </si>
  <si>
    <t>D + M svodů</t>
  </si>
  <si>
    <t>Výměna klem.prvků na fasádě</t>
  </si>
  <si>
    <t>odsávání ,kryty topidel, parapety</t>
  </si>
  <si>
    <t>Konstrukce truhlářské</t>
  </si>
  <si>
    <t>Montáž + dodávka dřevěných oken</t>
  </si>
  <si>
    <t>300 x 700 mm  - 8 ks, jednokř. otvíravé, zdvojené
1000 x 1300  - 3 ks, dvoukřídlé,otvíravé, zdvojené</t>
  </si>
  <si>
    <t>Obložení podhledů</t>
  </si>
  <si>
    <t>vč.demontáže stávajíciho</t>
  </si>
  <si>
    <t>Nátěry</t>
  </si>
  <si>
    <t>Nátěr ochranný BASF Prince Color</t>
  </si>
  <si>
    <t>Ochr.nátěr pískovec</t>
  </si>
  <si>
    <t>Nátěr  truhlářských výrobků 3x</t>
  </si>
  <si>
    <t>nátěr dříve vyměněných oken - sjednocení barevného odstínu s okny novými + 1ks ocelové zárubně ( 1m2 )
1 okno kalkulováno  2 m2 - 10 oken ( bude upřeněno při realizaci )
včetně přípravy podkladu</t>
  </si>
  <si>
    <t>Potrubí z trub plastických, skleněných a čedičových</t>
  </si>
  <si>
    <t>Kladení dren. potrubí bezvýkop.,flex.PVC,s obsypem</t>
  </si>
  <si>
    <t>Hodinové zúčtovací sazby (HZS)</t>
  </si>
  <si>
    <t>HZS</t>
  </si>
  <si>
    <t>Úpravy oplocení, nepředvídatelné práce</t>
  </si>
  <si>
    <t>Lešení a stavební výtahy</t>
  </si>
  <si>
    <t>Montáž lešení leh.řad.s podlahami,š.do 1 m, H 10 m</t>
  </si>
  <si>
    <t>Příplatek za každý měsíc použití lešení k pol.1031</t>
  </si>
  <si>
    <t>2 měsíce
2 * 615 = 1230</t>
  </si>
  <si>
    <t>Demontáž lešení leh.řad.s podlahami,š.1 m, H 10 m</t>
  </si>
  <si>
    <t>Bourání konstrukcí</t>
  </si>
  <si>
    <t>Vybourání dřevěných rámů oken dvojitých</t>
  </si>
  <si>
    <t>Prorážení otvorů a ostatní bourací práce</t>
  </si>
  <si>
    <t>Otlučení omítek vnějších MVC v složit.1-4</t>
  </si>
  <si>
    <t>včetně soklu</t>
  </si>
  <si>
    <t>Vysekání a úprava spár zdiva cihelného mimo komín.</t>
  </si>
  <si>
    <t>včetně soklu - vyčištění spar</t>
  </si>
  <si>
    <t>Vybourání objímek,držáků apod.ze zdiva cihelného</t>
  </si>
  <si>
    <t>Přesuny sutí</t>
  </si>
  <si>
    <t>Vodorovné přemístění suti na skládku do 5000 m</t>
  </si>
  <si>
    <t>včetně výkopku</t>
  </si>
  <si>
    <t>Ostatní materiál</t>
  </si>
  <si>
    <t>Trubka PVC-U drenážní flexibilní DN 100 mm</t>
  </si>
  <si>
    <t>Kamenivo těžené frakce  16/32</t>
  </si>
  <si>
    <t>zásyp drenáže, 
12,5*1,8 =22,5</t>
  </si>
  <si>
    <t>Přesun hmot pro budovy zděné výšky do 12 m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</si>
  <si>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</si>
  <si>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</si>
  <si>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</si>
  <si>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</si>
  <si>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</si>
  <si>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</si>
  <si>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</si>
  <si>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kompl.</t>
  </si>
  <si>
    <t>m</t>
  </si>
  <si>
    <t>kus</t>
  </si>
  <si>
    <t>h</t>
  </si>
  <si>
    <t>t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</si>
  <si>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</si>
  <si>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</si>
  <si>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</si>
  <si>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</si>
  <si>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</si>
  <si>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</si>
  <si>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</si>
  <si>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</si>
  <si>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</si>
  <si>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</si>
  <si>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</si>
  <si>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</si>
  <si>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Pavel Beran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</si>
  <si>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</si>
  <si>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</si>
  <si>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</si>
  <si>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</si>
  <si>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</si>
  <si>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</si>
  <si>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</si>
  <si>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</si>
  <si>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</si>
  <si>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</si>
  <si>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</si>
  <si>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</si>
  <si>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</si>
  <si>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</si>
  <si>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21_</t>
  </si>
  <si>
    <t>31_</t>
  </si>
  <si>
    <t>59_</t>
  </si>
  <si>
    <t>62_</t>
  </si>
  <si>
    <t>711_</t>
  </si>
  <si>
    <t>764_</t>
  </si>
  <si>
    <t>766_</t>
  </si>
  <si>
    <t>783_</t>
  </si>
  <si>
    <t>87_</t>
  </si>
  <si>
    <t>90_</t>
  </si>
  <si>
    <t>94_</t>
  </si>
  <si>
    <t>96_</t>
  </si>
  <si>
    <t>97_</t>
  </si>
  <si>
    <t>H_</t>
  </si>
  <si>
    <t>Z99999_</t>
  </si>
  <si>
    <t>1_</t>
  </si>
  <si>
    <t>2_</t>
  </si>
  <si>
    <t>3_</t>
  </si>
  <si>
    <t>5_</t>
  </si>
  <si>
    <t>6_</t>
  </si>
  <si>
    <t>71_</t>
  </si>
  <si>
    <t>76_</t>
  </si>
  <si>
    <t>78_</t>
  </si>
  <si>
    <t>8_</t>
  </si>
  <si>
    <t>9_</t>
  </si>
  <si>
    <t>Z_</t>
  </si>
  <si>
    <t>_</t>
  </si>
  <si>
    <t>Objekt</t>
  </si>
  <si>
    <t>Jednotková cena (Kč)</t>
  </si>
  <si>
    <t>Náklady dodávka (Kč)</t>
  </si>
  <si>
    <t>Náklady montáž (Kč)</t>
  </si>
  <si>
    <t>Náklady celkem (Kč)</t>
  </si>
  <si>
    <t>Jednotková hmotnost(t)</t>
  </si>
  <si>
    <t>Celková hmotnost(t)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</si>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</sst>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horizontal="right" vertical="top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8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3" fillId="0" borderId="28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2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2" fillId="34" borderId="36" xfId="0" applyNumberFormat="1" applyFont="1" applyFill="1" applyBorder="1" applyAlignment="1" applyProtection="1">
      <alignment horizontal="left" vertical="center"/>
      <protection/>
    </xf>
    <xf numFmtId="0" fontId="12" fillId="34" borderId="46" xfId="0" applyNumberFormat="1" applyFont="1" applyFill="1" applyBorder="1" applyAlignment="1" applyProtection="1">
      <alignment horizontal="left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9" xfId="0" applyNumberFormat="1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6"/>
  <sheetViews>
    <sheetView tabSelected="1" zoomScale="85" zoomScaleNormal="85" zoomScalePageLayoutView="0" workbookViewId="0" topLeftCell="A1">
      <selection activeCell="L10" sqref="L10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44.57421875" style="0" customWidth="1"/>
    <col min="4" max="4" width="6.42187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8" width="12.140625" style="0" hidden="1" customWidth="1"/>
  </cols>
  <sheetData>
    <row r="1" spans="1:12" ht="72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74"/>
      <c r="C2" s="77" t="s">
        <v>92</v>
      </c>
      <c r="D2" s="79" t="s">
        <v>169</v>
      </c>
      <c r="E2" s="74"/>
      <c r="F2" s="79"/>
      <c r="G2" s="74"/>
      <c r="H2" s="80" t="s">
        <v>188</v>
      </c>
      <c r="I2" s="80"/>
      <c r="J2" s="74"/>
      <c r="K2" s="74"/>
      <c r="L2" s="81"/>
      <c r="M2" s="32"/>
    </row>
    <row r="3" spans="1:13" ht="12.75">
      <c r="A3" s="75"/>
      <c r="B3" s="76"/>
      <c r="C3" s="78"/>
      <c r="D3" s="76"/>
      <c r="E3" s="76"/>
      <c r="F3" s="76"/>
      <c r="G3" s="76"/>
      <c r="H3" s="76"/>
      <c r="I3" s="76"/>
      <c r="J3" s="76"/>
      <c r="K3" s="76"/>
      <c r="L3" s="82"/>
      <c r="M3" s="32"/>
    </row>
    <row r="4" spans="1:13" ht="12.75">
      <c r="A4" s="83" t="s">
        <v>2</v>
      </c>
      <c r="B4" s="76"/>
      <c r="C4" s="84" t="s">
        <v>93</v>
      </c>
      <c r="D4" s="85" t="s">
        <v>170</v>
      </c>
      <c r="E4" s="76"/>
      <c r="F4" s="85" t="s">
        <v>6</v>
      </c>
      <c r="G4" s="76"/>
      <c r="H4" s="84" t="s">
        <v>189</v>
      </c>
      <c r="I4" s="84"/>
      <c r="J4" s="76"/>
      <c r="K4" s="76"/>
      <c r="L4" s="82"/>
      <c r="M4" s="32"/>
    </row>
    <row r="5" spans="1:13" ht="12.7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82"/>
      <c r="M5" s="32"/>
    </row>
    <row r="6" spans="1:13" ht="12.75">
      <c r="A6" s="83" t="s">
        <v>3</v>
      </c>
      <c r="B6" s="76"/>
      <c r="C6" s="84" t="s">
        <v>94</v>
      </c>
      <c r="D6" s="85" t="s">
        <v>171</v>
      </c>
      <c r="E6" s="76"/>
      <c r="F6" s="76"/>
      <c r="G6" s="76"/>
      <c r="H6" s="84" t="s">
        <v>190</v>
      </c>
      <c r="I6" s="84"/>
      <c r="J6" s="76"/>
      <c r="K6" s="76"/>
      <c r="L6" s="82"/>
      <c r="M6" s="32"/>
    </row>
    <row r="7" spans="1:13" ht="12.7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82"/>
      <c r="M7" s="32"/>
    </row>
    <row r="8" spans="1:13" ht="12.75">
      <c r="A8" s="83" t="s">
        <v>4</v>
      </c>
      <c r="B8" s="76"/>
      <c r="C8" s="84">
        <v>8035919</v>
      </c>
      <c r="D8" s="85" t="s">
        <v>172</v>
      </c>
      <c r="E8" s="76"/>
      <c r="F8" s="88">
        <v>42746</v>
      </c>
      <c r="G8" s="76"/>
      <c r="H8" s="84" t="s">
        <v>191</v>
      </c>
      <c r="I8" s="84" t="s">
        <v>193</v>
      </c>
      <c r="J8" s="76"/>
      <c r="K8" s="76"/>
      <c r="L8" s="82"/>
      <c r="M8" s="32"/>
    </row>
    <row r="9" spans="1:13" ht="12.75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9"/>
      <c r="M9" s="32"/>
    </row>
    <row r="10" spans="1:13" ht="12.75">
      <c r="A10" s="1" t="s">
        <v>5</v>
      </c>
      <c r="B10" s="10" t="s">
        <v>44</v>
      </c>
      <c r="C10" s="10" t="s">
        <v>95</v>
      </c>
      <c r="D10" s="10" t="s">
        <v>173</v>
      </c>
      <c r="E10" s="16" t="s">
        <v>182</v>
      </c>
      <c r="F10" s="20" t="s">
        <v>183</v>
      </c>
      <c r="G10" s="90" t="s">
        <v>185</v>
      </c>
      <c r="H10" s="91"/>
      <c r="I10" s="92"/>
      <c r="J10" s="90" t="s">
        <v>195</v>
      </c>
      <c r="K10" s="92"/>
      <c r="L10" s="27"/>
      <c r="M10" s="33"/>
    </row>
    <row r="11" spans="1:24" ht="12.75">
      <c r="A11" s="2" t="s">
        <v>6</v>
      </c>
      <c r="B11" s="11" t="s">
        <v>6</v>
      </c>
      <c r="C11" s="15" t="s">
        <v>96</v>
      </c>
      <c r="D11" s="11" t="s">
        <v>6</v>
      </c>
      <c r="E11" s="11" t="s">
        <v>6</v>
      </c>
      <c r="F11" s="21" t="s">
        <v>184</v>
      </c>
      <c r="G11" s="22" t="s">
        <v>186</v>
      </c>
      <c r="H11" s="23" t="s">
        <v>192</v>
      </c>
      <c r="I11" s="24" t="s">
        <v>194</v>
      </c>
      <c r="J11" s="22" t="s">
        <v>183</v>
      </c>
      <c r="K11" s="24" t="s">
        <v>194</v>
      </c>
      <c r="L11" s="28"/>
      <c r="M11" s="33"/>
      <c r="P11" s="26" t="s">
        <v>196</v>
      </c>
      <c r="Q11" s="26" t="s">
        <v>197</v>
      </c>
      <c r="R11" s="26" t="s">
        <v>198</v>
      </c>
      <c r="S11" s="26" t="s">
        <v>199</v>
      </c>
      <c r="T11" s="26" t="s">
        <v>200</v>
      </c>
      <c r="U11" s="26" t="s">
        <v>201</v>
      </c>
      <c r="V11" s="26" t="s">
        <v>202</v>
      </c>
      <c r="W11" s="26" t="s">
        <v>203</v>
      </c>
      <c r="X11" s="26" t="s">
        <v>204</v>
      </c>
    </row>
    <row r="12" spans="1:37" ht="12.75">
      <c r="A12" s="3"/>
      <c r="B12" s="12" t="s">
        <v>17</v>
      </c>
      <c r="C12" s="93" t="s">
        <v>97</v>
      </c>
      <c r="D12" s="94"/>
      <c r="E12" s="94"/>
      <c r="F12" s="94"/>
      <c r="G12" s="36">
        <f>SUM(G13:G13)</f>
        <v>0</v>
      </c>
      <c r="H12" s="36">
        <f>SUM(H13:H13)</f>
        <v>0</v>
      </c>
      <c r="I12" s="36">
        <f>G12+H12</f>
        <v>0</v>
      </c>
      <c r="J12" s="25"/>
      <c r="K12" s="36">
        <f>SUM(K13:K13)</f>
        <v>11.04</v>
      </c>
      <c r="L12" s="25"/>
      <c r="Y12" s="26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4" t="s">
        <v>7</v>
      </c>
      <c r="B13" s="4" t="s">
        <v>45</v>
      </c>
      <c r="C13" s="4" t="s">
        <v>98</v>
      </c>
      <c r="D13" s="4" t="s">
        <v>174</v>
      </c>
      <c r="E13" s="17">
        <v>23</v>
      </c>
      <c r="F13" s="17">
        <v>0</v>
      </c>
      <c r="G13" s="17">
        <f>E13*AE13</f>
        <v>0</v>
      </c>
      <c r="H13" s="17">
        <f>I13-G13</f>
        <v>0</v>
      </c>
      <c r="I13" s="17">
        <f>E13*F13</f>
        <v>0</v>
      </c>
      <c r="J13" s="17">
        <v>0.48</v>
      </c>
      <c r="K13" s="17">
        <f>E13*J13</f>
        <v>11.04</v>
      </c>
      <c r="L13" s="29"/>
      <c r="P13" s="34">
        <f>IF(AG13="5",I13,0)</f>
        <v>0</v>
      </c>
      <c r="R13" s="34">
        <f>IF(AG13="1",G13,0)</f>
        <v>0</v>
      </c>
      <c r="S13" s="34">
        <f>IF(AG13="1",H13,0)</f>
        <v>0</v>
      </c>
      <c r="T13" s="34">
        <f>IF(AG13="7",G13,0)</f>
        <v>0</v>
      </c>
      <c r="U13" s="34">
        <f>IF(AG13="7",H13,0)</f>
        <v>0</v>
      </c>
      <c r="V13" s="34">
        <f>IF(AG13="2",G13,0)</f>
        <v>0</v>
      </c>
      <c r="W13" s="34">
        <f>IF(AG13="2",H13,0)</f>
        <v>0</v>
      </c>
      <c r="X13" s="34">
        <f>IF(AG13="0",I13,0)</f>
        <v>0</v>
      </c>
      <c r="Y13" s="26"/>
      <c r="Z13" s="17">
        <f>IF(AD13=0,I13,0)</f>
        <v>0</v>
      </c>
      <c r="AA13" s="17">
        <f>IF(AD13=15,I13,0)</f>
        <v>0</v>
      </c>
      <c r="AB13" s="17">
        <f>IF(AD13=21,I13,0)</f>
        <v>0</v>
      </c>
      <c r="AD13" s="34">
        <v>15</v>
      </c>
      <c r="AE13" s="34">
        <f>F13*0</f>
        <v>0</v>
      </c>
      <c r="AF13" s="34">
        <f>F13*(1-0)</f>
        <v>0</v>
      </c>
      <c r="AG13" s="29" t="s">
        <v>7</v>
      </c>
      <c r="AM13" s="34">
        <f>E13*AE13</f>
        <v>0</v>
      </c>
      <c r="AN13" s="34">
        <f>E13*AF13</f>
        <v>0</v>
      </c>
      <c r="AO13" s="35" t="s">
        <v>206</v>
      </c>
      <c r="AP13" s="35" t="s">
        <v>223</v>
      </c>
      <c r="AQ13" s="26" t="s">
        <v>234</v>
      </c>
      <c r="AS13" s="34">
        <f>AM13+AN13</f>
        <v>0</v>
      </c>
      <c r="AT13" s="34">
        <f>F13/(100-AU13)*100</f>
        <v>0</v>
      </c>
      <c r="AU13" s="34">
        <v>0</v>
      </c>
      <c r="AV13" s="34">
        <f>K13</f>
        <v>11.04</v>
      </c>
    </row>
    <row r="14" spans="1:37" ht="12.75">
      <c r="A14" s="5"/>
      <c r="B14" s="13" t="s">
        <v>18</v>
      </c>
      <c r="C14" s="95" t="s">
        <v>99</v>
      </c>
      <c r="D14" s="96"/>
      <c r="E14" s="96"/>
      <c r="F14" s="96"/>
      <c r="G14" s="37">
        <f>SUM(G15:G15)</f>
        <v>0</v>
      </c>
      <c r="H14" s="37">
        <f>SUM(H15:H15)</f>
        <v>0</v>
      </c>
      <c r="I14" s="37">
        <f>G14+H14</f>
        <v>0</v>
      </c>
      <c r="J14" s="26"/>
      <c r="K14" s="37">
        <f>SUM(K15:K15)</f>
        <v>0</v>
      </c>
      <c r="L14" s="26"/>
      <c r="Y14" s="26"/>
      <c r="AI14" s="37">
        <f>SUM(Z15:Z15)</f>
        <v>0</v>
      </c>
      <c r="AJ14" s="37">
        <f>SUM(AA15:AA15)</f>
        <v>0</v>
      </c>
      <c r="AK14" s="37">
        <f>SUM(AB15:AB15)</f>
        <v>0</v>
      </c>
    </row>
    <row r="15" spans="1:48" ht="12.75">
      <c r="A15" s="4" t="s">
        <v>8</v>
      </c>
      <c r="B15" s="4" t="s">
        <v>46</v>
      </c>
      <c r="C15" s="4" t="s">
        <v>100</v>
      </c>
      <c r="D15" s="4" t="s">
        <v>175</v>
      </c>
      <c r="E15" s="17">
        <v>14.756</v>
      </c>
      <c r="F15" s="17">
        <v>0</v>
      </c>
      <c r="G15" s="17">
        <f>E15*AE15</f>
        <v>0</v>
      </c>
      <c r="H15" s="17">
        <f>I15-G15</f>
        <v>0</v>
      </c>
      <c r="I15" s="17">
        <f>E15*F15</f>
        <v>0</v>
      </c>
      <c r="J15" s="17">
        <v>0</v>
      </c>
      <c r="K15" s="17">
        <f>E15*J15</f>
        <v>0</v>
      </c>
      <c r="L15" s="29"/>
      <c r="P15" s="34">
        <f>IF(AG15="5",I15,0)</f>
        <v>0</v>
      </c>
      <c r="R15" s="34">
        <f>IF(AG15="1",G15,0)</f>
        <v>0</v>
      </c>
      <c r="S15" s="34">
        <f>IF(AG15="1",H15,0)</f>
        <v>0</v>
      </c>
      <c r="T15" s="34">
        <f>IF(AG15="7",G15,0)</f>
        <v>0</v>
      </c>
      <c r="U15" s="34">
        <f>IF(AG15="7",H15,0)</f>
        <v>0</v>
      </c>
      <c r="V15" s="34">
        <f>IF(AG15="2",G15,0)</f>
        <v>0</v>
      </c>
      <c r="W15" s="34">
        <f>IF(AG15="2",H15,0)</f>
        <v>0</v>
      </c>
      <c r="X15" s="34">
        <f>IF(AG15="0",I15,0)</f>
        <v>0</v>
      </c>
      <c r="Y15" s="26"/>
      <c r="Z15" s="17">
        <f>IF(AD15=0,I15,0)</f>
        <v>0</v>
      </c>
      <c r="AA15" s="17">
        <f>IF(AD15=15,I15,0)</f>
        <v>0</v>
      </c>
      <c r="AB15" s="17">
        <f>IF(AD15=21,I15,0)</f>
        <v>0</v>
      </c>
      <c r="AD15" s="34">
        <v>15</v>
      </c>
      <c r="AE15" s="34">
        <f>F15*0</f>
        <v>0</v>
      </c>
      <c r="AF15" s="34">
        <f>F15*(1-0)</f>
        <v>0</v>
      </c>
      <c r="AG15" s="29" t="s">
        <v>7</v>
      </c>
      <c r="AM15" s="34">
        <f>E15*AE15</f>
        <v>0</v>
      </c>
      <c r="AN15" s="34">
        <f>E15*AF15</f>
        <v>0</v>
      </c>
      <c r="AO15" s="35" t="s">
        <v>207</v>
      </c>
      <c r="AP15" s="35" t="s">
        <v>223</v>
      </c>
      <c r="AQ15" s="26" t="s">
        <v>234</v>
      </c>
      <c r="AS15" s="34">
        <f>AM15+AN15</f>
        <v>0</v>
      </c>
      <c r="AT15" s="34">
        <f>F15/(100-AU15)*100</f>
        <v>0</v>
      </c>
      <c r="AU15" s="34">
        <v>0</v>
      </c>
      <c r="AV15" s="34">
        <f>K15</f>
        <v>0</v>
      </c>
    </row>
    <row r="16" spans="2:12" ht="63.75" customHeight="1">
      <c r="B16" s="14" t="s">
        <v>42</v>
      </c>
      <c r="C16" s="97" t="s">
        <v>101</v>
      </c>
      <c r="D16" s="98"/>
      <c r="E16" s="98"/>
      <c r="F16" s="98"/>
      <c r="G16" s="98"/>
      <c r="H16" s="98"/>
      <c r="I16" s="98"/>
      <c r="J16" s="98"/>
      <c r="K16" s="98"/>
      <c r="L16" s="98"/>
    </row>
    <row r="17" spans="1:37" ht="12.75">
      <c r="A17" s="5"/>
      <c r="B17" s="13" t="s">
        <v>27</v>
      </c>
      <c r="C17" s="95" t="s">
        <v>102</v>
      </c>
      <c r="D17" s="96"/>
      <c r="E17" s="96"/>
      <c r="F17" s="96"/>
      <c r="G17" s="37">
        <f>SUM(G18:G18)</f>
        <v>0</v>
      </c>
      <c r="H17" s="37">
        <f>SUM(H18:H18)</f>
        <v>0</v>
      </c>
      <c r="I17" s="37">
        <f>G17+H17</f>
        <v>0</v>
      </c>
      <c r="J17" s="26"/>
      <c r="K17" s="37">
        <f>SUM(K18:K18)</f>
        <v>4.352</v>
      </c>
      <c r="L17" s="26"/>
      <c r="Y17" s="26"/>
      <c r="AI17" s="37">
        <f>SUM(Z18:Z18)</f>
        <v>0</v>
      </c>
      <c r="AJ17" s="37">
        <f>SUM(AA18:AA18)</f>
        <v>0</v>
      </c>
      <c r="AK17" s="37">
        <f>SUM(AB18:AB18)</f>
        <v>0</v>
      </c>
    </row>
    <row r="18" spans="1:48" ht="12.75">
      <c r="A18" s="4" t="s">
        <v>9</v>
      </c>
      <c r="B18" s="4" t="s">
        <v>47</v>
      </c>
      <c r="C18" s="4" t="s">
        <v>103</v>
      </c>
      <c r="D18" s="4" t="s">
        <v>176</v>
      </c>
      <c r="E18" s="17">
        <v>1</v>
      </c>
      <c r="F18" s="17">
        <v>0</v>
      </c>
      <c r="G18" s="17">
        <f>E18*AE18</f>
        <v>0</v>
      </c>
      <c r="H18" s="17">
        <f>I18-G18</f>
        <v>0</v>
      </c>
      <c r="I18" s="17">
        <f>E18*F18</f>
        <v>0</v>
      </c>
      <c r="J18" s="17">
        <v>4.352</v>
      </c>
      <c r="K18" s="17">
        <f>E18*J18</f>
        <v>4.352</v>
      </c>
      <c r="L18" s="29"/>
      <c r="P18" s="34">
        <f>IF(AG18="5",I18,0)</f>
        <v>0</v>
      </c>
      <c r="R18" s="34">
        <f>IF(AG18="1",G18,0)</f>
        <v>0</v>
      </c>
      <c r="S18" s="34">
        <f>IF(AG18="1",H18,0)</f>
        <v>0</v>
      </c>
      <c r="T18" s="34">
        <f>IF(AG18="7",G18,0)</f>
        <v>0</v>
      </c>
      <c r="U18" s="34">
        <f>IF(AG18="7",H18,0)</f>
        <v>0</v>
      </c>
      <c r="V18" s="34">
        <f>IF(AG18="2",G18,0)</f>
        <v>0</v>
      </c>
      <c r="W18" s="34">
        <f>IF(AG18="2",H18,0)</f>
        <v>0</v>
      </c>
      <c r="X18" s="34">
        <f>IF(AG18="0",I18,0)</f>
        <v>0</v>
      </c>
      <c r="Y18" s="26"/>
      <c r="Z18" s="17">
        <f>IF(AD18=0,I18,0)</f>
        <v>0</v>
      </c>
      <c r="AA18" s="17">
        <f>IF(AD18=15,I18,0)</f>
        <v>0</v>
      </c>
      <c r="AB18" s="17">
        <f>IF(AD18=21,I18,0)</f>
        <v>0</v>
      </c>
      <c r="AD18" s="34">
        <v>15</v>
      </c>
      <c r="AE18" s="34">
        <f>F18*0.432785350318471</f>
        <v>0</v>
      </c>
      <c r="AF18" s="34">
        <f>F18*(1-0.432785350318471)</f>
        <v>0</v>
      </c>
      <c r="AG18" s="29" t="s">
        <v>7</v>
      </c>
      <c r="AM18" s="34">
        <f>E18*AE18</f>
        <v>0</v>
      </c>
      <c r="AN18" s="34">
        <f>E18*AF18</f>
        <v>0</v>
      </c>
      <c r="AO18" s="35" t="s">
        <v>208</v>
      </c>
      <c r="AP18" s="35" t="s">
        <v>224</v>
      </c>
      <c r="AQ18" s="26" t="s">
        <v>234</v>
      </c>
      <c r="AS18" s="34">
        <f>AM18+AN18</f>
        <v>0</v>
      </c>
      <c r="AT18" s="34">
        <f>F18/(100-AU18)*100</f>
        <v>0</v>
      </c>
      <c r="AU18" s="34">
        <v>0</v>
      </c>
      <c r="AV18" s="34">
        <f>K18</f>
        <v>4.352</v>
      </c>
    </row>
    <row r="19" spans="2:12" ht="12.75">
      <c r="B19" s="14" t="s">
        <v>42</v>
      </c>
      <c r="C19" s="97" t="s">
        <v>104</v>
      </c>
      <c r="D19" s="98"/>
      <c r="E19" s="98"/>
      <c r="F19" s="98"/>
      <c r="G19" s="98"/>
      <c r="H19" s="98"/>
      <c r="I19" s="98"/>
      <c r="J19" s="98"/>
      <c r="K19" s="98"/>
      <c r="L19" s="98"/>
    </row>
    <row r="20" spans="1:37" ht="12.75">
      <c r="A20" s="5"/>
      <c r="B20" s="13" t="s">
        <v>37</v>
      </c>
      <c r="C20" s="95" t="s">
        <v>105</v>
      </c>
      <c r="D20" s="96"/>
      <c r="E20" s="96"/>
      <c r="F20" s="96"/>
      <c r="G20" s="37">
        <f>SUM(G21:G21)</f>
        <v>0</v>
      </c>
      <c r="H20" s="37">
        <f>SUM(H21:H21)</f>
        <v>0</v>
      </c>
      <c r="I20" s="37">
        <f>G20+H20</f>
        <v>0</v>
      </c>
      <c r="J20" s="26"/>
      <c r="K20" s="37">
        <f>SUM(K21:K21)</f>
        <v>2.01208</v>
      </c>
      <c r="L20" s="26"/>
      <c r="Y20" s="26"/>
      <c r="AI20" s="37">
        <f>SUM(Z21:Z21)</f>
        <v>0</v>
      </c>
      <c r="AJ20" s="37">
        <f>SUM(AA21:AA21)</f>
        <v>0</v>
      </c>
      <c r="AK20" s="37">
        <f>SUM(AB21:AB21)</f>
        <v>0</v>
      </c>
    </row>
    <row r="21" spans="1:48" ht="12.75">
      <c r="A21" s="4" t="s">
        <v>10</v>
      </c>
      <c r="B21" s="4" t="s">
        <v>48</v>
      </c>
      <c r="C21" s="4" t="s">
        <v>106</v>
      </c>
      <c r="D21" s="4" t="s">
        <v>175</v>
      </c>
      <c r="E21" s="17">
        <v>1</v>
      </c>
      <c r="F21" s="17">
        <v>0</v>
      </c>
      <c r="G21" s="17">
        <f>E21*AE21</f>
        <v>0</v>
      </c>
      <c r="H21" s="17">
        <f>I21-G21</f>
        <v>0</v>
      </c>
      <c r="I21" s="17">
        <f>E21*F21</f>
        <v>0</v>
      </c>
      <c r="J21" s="17">
        <v>2.01208</v>
      </c>
      <c r="K21" s="17">
        <f>E21*J21</f>
        <v>2.01208</v>
      </c>
      <c r="L21" s="29"/>
      <c r="P21" s="34">
        <f>IF(AG21="5",I21,0)</f>
        <v>0</v>
      </c>
      <c r="R21" s="34">
        <f>IF(AG21="1",G21,0)</f>
        <v>0</v>
      </c>
      <c r="S21" s="34">
        <f>IF(AG21="1",H21,0)</f>
        <v>0</v>
      </c>
      <c r="T21" s="34">
        <f>IF(AG21="7",G21,0)</f>
        <v>0</v>
      </c>
      <c r="U21" s="34">
        <f>IF(AG21="7",H21,0)</f>
        <v>0</v>
      </c>
      <c r="V21" s="34">
        <f>IF(AG21="2",G21,0)</f>
        <v>0</v>
      </c>
      <c r="W21" s="34">
        <f>IF(AG21="2",H21,0)</f>
        <v>0</v>
      </c>
      <c r="X21" s="34">
        <f>IF(AG21="0",I21,0)</f>
        <v>0</v>
      </c>
      <c r="Y21" s="26"/>
      <c r="Z21" s="17">
        <f>IF(AD21=0,I21,0)</f>
        <v>0</v>
      </c>
      <c r="AA21" s="17">
        <f>IF(AD21=15,I21,0)</f>
        <v>0</v>
      </c>
      <c r="AB21" s="17">
        <f>IF(AD21=21,I21,0)</f>
        <v>0</v>
      </c>
      <c r="AD21" s="34">
        <v>15</v>
      </c>
      <c r="AE21" s="34">
        <f>F21*0.194875964718853</f>
        <v>0</v>
      </c>
      <c r="AF21" s="34">
        <f>F21*(1-0.194875964718853)</f>
        <v>0</v>
      </c>
      <c r="AG21" s="29" t="s">
        <v>7</v>
      </c>
      <c r="AM21" s="34">
        <f>E21*AE21</f>
        <v>0</v>
      </c>
      <c r="AN21" s="34">
        <f>E21*AF21</f>
        <v>0</v>
      </c>
      <c r="AO21" s="35" t="s">
        <v>209</v>
      </c>
      <c r="AP21" s="35" t="s">
        <v>225</v>
      </c>
      <c r="AQ21" s="26" t="s">
        <v>234</v>
      </c>
      <c r="AS21" s="34">
        <f>AM21+AN21</f>
        <v>0</v>
      </c>
      <c r="AT21" s="34">
        <f>F21/(100-AU21)*100</f>
        <v>0</v>
      </c>
      <c r="AU21" s="34">
        <v>0</v>
      </c>
      <c r="AV21" s="34">
        <f>K21</f>
        <v>2.01208</v>
      </c>
    </row>
    <row r="22" spans="1:37" ht="12.75">
      <c r="A22" s="5"/>
      <c r="B22" s="13" t="s">
        <v>49</v>
      </c>
      <c r="C22" s="95" t="s">
        <v>107</v>
      </c>
      <c r="D22" s="96"/>
      <c r="E22" s="96"/>
      <c r="F22" s="96"/>
      <c r="G22" s="37">
        <f>SUM(G23:G23)</f>
        <v>0</v>
      </c>
      <c r="H22" s="37">
        <f>SUM(H23:H23)</f>
        <v>0</v>
      </c>
      <c r="I22" s="37">
        <f>G22+H22</f>
        <v>0</v>
      </c>
      <c r="J22" s="26"/>
      <c r="K22" s="37">
        <f>SUM(K23:K23)</f>
        <v>12.420000000000002</v>
      </c>
      <c r="L22" s="26"/>
      <c r="Y22" s="26"/>
      <c r="AI22" s="37">
        <f>SUM(Z23:Z23)</f>
        <v>0</v>
      </c>
      <c r="AJ22" s="37">
        <f>SUM(AA23:AA23)</f>
        <v>0</v>
      </c>
      <c r="AK22" s="37">
        <f>SUM(AB23:AB23)</f>
        <v>0</v>
      </c>
    </row>
    <row r="23" spans="1:48" ht="12.75">
      <c r="A23" s="4" t="s">
        <v>11</v>
      </c>
      <c r="B23" s="4" t="s">
        <v>50</v>
      </c>
      <c r="C23" s="4" t="s">
        <v>108</v>
      </c>
      <c r="D23" s="4" t="s">
        <v>174</v>
      </c>
      <c r="E23" s="17">
        <v>23</v>
      </c>
      <c r="F23" s="17">
        <v>0</v>
      </c>
      <c r="G23" s="17">
        <f>E23*AE23</f>
        <v>0</v>
      </c>
      <c r="H23" s="17">
        <f>I23-G23</f>
        <v>0</v>
      </c>
      <c r="I23" s="17">
        <f>E23*F23</f>
        <v>0</v>
      </c>
      <c r="J23" s="17">
        <v>0.54</v>
      </c>
      <c r="K23" s="17">
        <f>E23*J23</f>
        <v>12.420000000000002</v>
      </c>
      <c r="L23" s="29"/>
      <c r="P23" s="34">
        <f>IF(AG23="5",I23,0)</f>
        <v>0</v>
      </c>
      <c r="R23" s="34">
        <f>IF(AG23="1",G23,0)</f>
        <v>0</v>
      </c>
      <c r="S23" s="34">
        <f>IF(AG23="1",H23,0)</f>
        <v>0</v>
      </c>
      <c r="T23" s="34">
        <f>IF(AG23="7",G23,0)</f>
        <v>0</v>
      </c>
      <c r="U23" s="34">
        <f>IF(AG23="7",H23,0)</f>
        <v>0</v>
      </c>
      <c r="V23" s="34">
        <f>IF(AG23="2",G23,0)</f>
        <v>0</v>
      </c>
      <c r="W23" s="34">
        <f>IF(AG23="2",H23,0)</f>
        <v>0</v>
      </c>
      <c r="X23" s="34">
        <f>IF(AG23="0",I23,0)</f>
        <v>0</v>
      </c>
      <c r="Y23" s="26"/>
      <c r="Z23" s="17">
        <f>IF(AD23=0,I23,0)</f>
        <v>0</v>
      </c>
      <c r="AA23" s="17">
        <f>IF(AD23=15,I23,0)</f>
        <v>0</v>
      </c>
      <c r="AB23" s="17">
        <f>IF(AD23=21,I23,0)</f>
        <v>0</v>
      </c>
      <c r="AD23" s="34">
        <v>15</v>
      </c>
      <c r="AE23" s="34">
        <f>F23*0.330570469798658</f>
        <v>0</v>
      </c>
      <c r="AF23" s="34">
        <f>F23*(1-0.330570469798658)</f>
        <v>0</v>
      </c>
      <c r="AG23" s="29" t="s">
        <v>7</v>
      </c>
      <c r="AM23" s="34">
        <f>E23*AE23</f>
        <v>0</v>
      </c>
      <c r="AN23" s="34">
        <f>E23*AF23</f>
        <v>0</v>
      </c>
      <c r="AO23" s="35" t="s">
        <v>210</v>
      </c>
      <c r="AP23" s="35" t="s">
        <v>226</v>
      </c>
      <c r="AQ23" s="26" t="s">
        <v>234</v>
      </c>
      <c r="AS23" s="34">
        <f>AM23+AN23</f>
        <v>0</v>
      </c>
      <c r="AT23" s="34">
        <f>F23/(100-AU23)*100</f>
        <v>0</v>
      </c>
      <c r="AU23" s="34">
        <v>0</v>
      </c>
      <c r="AV23" s="34">
        <f>K23</f>
        <v>12.420000000000002</v>
      </c>
    </row>
    <row r="24" spans="1:37" ht="12.75">
      <c r="A24" s="5"/>
      <c r="B24" s="13" t="s">
        <v>51</v>
      </c>
      <c r="C24" s="95" t="s">
        <v>109</v>
      </c>
      <c r="D24" s="96"/>
      <c r="E24" s="96"/>
      <c r="F24" s="96"/>
      <c r="G24" s="37">
        <f>SUM(G25:G40)</f>
        <v>0</v>
      </c>
      <c r="H24" s="37">
        <f>SUM(H25:H40)</f>
        <v>0</v>
      </c>
      <c r="I24" s="37">
        <f>G24+H24</f>
        <v>0</v>
      </c>
      <c r="J24" s="26"/>
      <c r="K24" s="37">
        <f>SUM(K25:K40)</f>
        <v>43.39296159999999</v>
      </c>
      <c r="L24" s="26"/>
      <c r="Y24" s="26"/>
      <c r="AI24" s="37">
        <f>SUM(Z25:Z40)</f>
        <v>0</v>
      </c>
      <c r="AJ24" s="37">
        <f>SUM(AA25:AA40)</f>
        <v>0</v>
      </c>
      <c r="AK24" s="37">
        <f>SUM(AB25:AB40)</f>
        <v>0</v>
      </c>
    </row>
    <row r="25" spans="1:48" ht="12.75">
      <c r="A25" s="4" t="s">
        <v>12</v>
      </c>
      <c r="B25" s="4" t="s">
        <v>52</v>
      </c>
      <c r="C25" s="4" t="s">
        <v>110</v>
      </c>
      <c r="D25" s="4" t="s">
        <v>174</v>
      </c>
      <c r="E25" s="17">
        <v>76.32</v>
      </c>
      <c r="F25" s="17">
        <v>0</v>
      </c>
      <c r="G25" s="17">
        <f>E25*AE25</f>
        <v>0</v>
      </c>
      <c r="H25" s="17">
        <f>I25-G25</f>
        <v>0</v>
      </c>
      <c r="I25" s="17">
        <f>E25*F25</f>
        <v>0</v>
      </c>
      <c r="J25" s="17">
        <v>0.00083</v>
      </c>
      <c r="K25" s="17">
        <f>E25*J25</f>
        <v>0.0633456</v>
      </c>
      <c r="L25" s="29"/>
      <c r="P25" s="34">
        <f>IF(AG25="5",I25,0)</f>
        <v>0</v>
      </c>
      <c r="R25" s="34">
        <f>IF(AG25="1",G25,0)</f>
        <v>0</v>
      </c>
      <c r="S25" s="34">
        <f>IF(AG25="1",H25,0)</f>
        <v>0</v>
      </c>
      <c r="T25" s="34">
        <f>IF(AG25="7",G25,0)</f>
        <v>0</v>
      </c>
      <c r="U25" s="34">
        <f>IF(AG25="7",H25,0)</f>
        <v>0</v>
      </c>
      <c r="V25" s="34">
        <f>IF(AG25="2",G25,0)</f>
        <v>0</v>
      </c>
      <c r="W25" s="34">
        <f>IF(AG25="2",H25,0)</f>
        <v>0</v>
      </c>
      <c r="X25" s="34">
        <f>IF(AG25="0",I25,0)</f>
        <v>0</v>
      </c>
      <c r="Y25" s="26"/>
      <c r="Z25" s="17">
        <f>IF(AD25=0,I25,0)</f>
        <v>0</v>
      </c>
      <c r="AA25" s="17">
        <f>IF(AD25=15,I25,0)</f>
        <v>0</v>
      </c>
      <c r="AB25" s="17">
        <f>IF(AD25=21,I25,0)</f>
        <v>0</v>
      </c>
      <c r="AD25" s="34">
        <v>15</v>
      </c>
      <c r="AE25" s="34">
        <f>F25*0.617732648133243</f>
        <v>0</v>
      </c>
      <c r="AF25" s="34">
        <f>F25*(1-0.617732648133243)</f>
        <v>0</v>
      </c>
      <c r="AG25" s="29" t="s">
        <v>7</v>
      </c>
      <c r="AM25" s="34">
        <f>E25*AE25</f>
        <v>0</v>
      </c>
      <c r="AN25" s="34">
        <f>E25*AF25</f>
        <v>0</v>
      </c>
      <c r="AO25" s="35" t="s">
        <v>211</v>
      </c>
      <c r="AP25" s="35" t="s">
        <v>227</v>
      </c>
      <c r="AQ25" s="26" t="s">
        <v>234</v>
      </c>
      <c r="AS25" s="34">
        <f>AM25+AN25</f>
        <v>0</v>
      </c>
      <c r="AT25" s="34">
        <f>F25/(100-AU25)*100</f>
        <v>0</v>
      </c>
      <c r="AU25" s="34">
        <v>0</v>
      </c>
      <c r="AV25" s="34">
        <f>K25</f>
        <v>0.0633456</v>
      </c>
    </row>
    <row r="26" spans="2:12" ht="12.75">
      <c r="B26" s="14" t="s">
        <v>42</v>
      </c>
      <c r="C26" s="97" t="s">
        <v>111</v>
      </c>
      <c r="D26" s="98"/>
      <c r="E26" s="98"/>
      <c r="F26" s="98"/>
      <c r="G26" s="98"/>
      <c r="H26" s="98"/>
      <c r="I26" s="98"/>
      <c r="J26" s="98"/>
      <c r="K26" s="98"/>
      <c r="L26" s="98"/>
    </row>
    <row r="27" spans="1:48" ht="12.75">
      <c r="A27" s="4" t="s">
        <v>13</v>
      </c>
      <c r="B27" s="4" t="s">
        <v>53</v>
      </c>
      <c r="C27" s="4" t="s">
        <v>112</v>
      </c>
      <c r="D27" s="4" t="s">
        <v>174</v>
      </c>
      <c r="E27" s="17">
        <v>560</v>
      </c>
      <c r="F27" s="17">
        <v>0</v>
      </c>
      <c r="G27" s="17">
        <f>E27*AE27</f>
        <v>0</v>
      </c>
      <c r="H27" s="17">
        <f>I27-G27</f>
        <v>0</v>
      </c>
      <c r="I27" s="17">
        <f>E27*F27</f>
        <v>0</v>
      </c>
      <c r="J27" s="17">
        <v>0.05723</v>
      </c>
      <c r="K27" s="17">
        <f>E27*J27</f>
        <v>32.0488</v>
      </c>
      <c r="L27" s="29"/>
      <c r="P27" s="34">
        <f>IF(AG27="5",I27,0)</f>
        <v>0</v>
      </c>
      <c r="R27" s="34">
        <f>IF(AG27="1",G27,0)</f>
        <v>0</v>
      </c>
      <c r="S27" s="34">
        <f>IF(AG27="1",H27,0)</f>
        <v>0</v>
      </c>
      <c r="T27" s="34">
        <f>IF(AG27="7",G27,0)</f>
        <v>0</v>
      </c>
      <c r="U27" s="34">
        <f>IF(AG27="7",H27,0)</f>
        <v>0</v>
      </c>
      <c r="V27" s="34">
        <f>IF(AG27="2",G27,0)</f>
        <v>0</v>
      </c>
      <c r="W27" s="34">
        <f>IF(AG27="2",H27,0)</f>
        <v>0</v>
      </c>
      <c r="X27" s="34">
        <f>IF(AG27="0",I27,0)</f>
        <v>0</v>
      </c>
      <c r="Y27" s="26"/>
      <c r="Z27" s="17">
        <f>IF(AD27=0,I27,0)</f>
        <v>0</v>
      </c>
      <c r="AA27" s="17">
        <f>IF(AD27=15,I27,0)</f>
        <v>0</v>
      </c>
      <c r="AB27" s="17">
        <f>IF(AD27=21,I27,0)</f>
        <v>0</v>
      </c>
      <c r="AD27" s="34">
        <v>15</v>
      </c>
      <c r="AE27" s="34">
        <f>F27*0.106561264822134</f>
        <v>0</v>
      </c>
      <c r="AF27" s="34">
        <f>F27*(1-0.106561264822134)</f>
        <v>0</v>
      </c>
      <c r="AG27" s="29" t="s">
        <v>7</v>
      </c>
      <c r="AM27" s="34">
        <f>E27*AE27</f>
        <v>0</v>
      </c>
      <c r="AN27" s="34">
        <f>E27*AF27</f>
        <v>0</v>
      </c>
      <c r="AO27" s="35" t="s">
        <v>211</v>
      </c>
      <c r="AP27" s="35" t="s">
        <v>227</v>
      </c>
      <c r="AQ27" s="26" t="s">
        <v>234</v>
      </c>
      <c r="AS27" s="34">
        <f>AM27+AN27</f>
        <v>0</v>
      </c>
      <c r="AT27" s="34">
        <f>F27/(100-AU27)*100</f>
        <v>0</v>
      </c>
      <c r="AU27" s="34">
        <v>0</v>
      </c>
      <c r="AV27" s="34">
        <f>K27</f>
        <v>32.0488</v>
      </c>
    </row>
    <row r="28" spans="2:12" ht="12.75">
      <c r="B28" s="14" t="s">
        <v>42</v>
      </c>
      <c r="C28" s="97" t="s">
        <v>113</v>
      </c>
      <c r="D28" s="98"/>
      <c r="E28" s="98"/>
      <c r="F28" s="98"/>
      <c r="G28" s="98"/>
      <c r="H28" s="98"/>
      <c r="I28" s="98"/>
      <c r="J28" s="98"/>
      <c r="K28" s="98"/>
      <c r="L28" s="98"/>
    </row>
    <row r="29" spans="1:48" ht="12.75">
      <c r="A29" s="4" t="s">
        <v>14</v>
      </c>
      <c r="B29" s="4" t="s">
        <v>54</v>
      </c>
      <c r="C29" s="4" t="s">
        <v>114</v>
      </c>
      <c r="D29" s="4" t="s">
        <v>174</v>
      </c>
      <c r="E29" s="17">
        <v>68</v>
      </c>
      <c r="F29" s="17">
        <v>0</v>
      </c>
      <c r="G29" s="17">
        <f>E29*AE29</f>
        <v>0</v>
      </c>
      <c r="H29" s="17">
        <f>I29-G29</f>
        <v>0</v>
      </c>
      <c r="I29" s="17">
        <f>E29*F29</f>
        <v>0</v>
      </c>
      <c r="J29" s="17">
        <v>4E-05</v>
      </c>
      <c r="K29" s="17">
        <f>E29*J29</f>
        <v>0.00272</v>
      </c>
      <c r="L29" s="29"/>
      <c r="P29" s="34">
        <f>IF(AG29="5",I29,0)</f>
        <v>0</v>
      </c>
      <c r="R29" s="34">
        <f>IF(AG29="1",G29,0)</f>
        <v>0</v>
      </c>
      <c r="S29" s="34">
        <f>IF(AG29="1",H29,0)</f>
        <v>0</v>
      </c>
      <c r="T29" s="34">
        <f>IF(AG29="7",G29,0)</f>
        <v>0</v>
      </c>
      <c r="U29" s="34">
        <f>IF(AG29="7",H29,0)</f>
        <v>0</v>
      </c>
      <c r="V29" s="34">
        <f>IF(AG29="2",G29,0)</f>
        <v>0</v>
      </c>
      <c r="W29" s="34">
        <f>IF(AG29="2",H29,0)</f>
        <v>0</v>
      </c>
      <c r="X29" s="34">
        <f>IF(AG29="0",I29,0)</f>
        <v>0</v>
      </c>
      <c r="Y29" s="26"/>
      <c r="Z29" s="17">
        <f>IF(AD29=0,I29,0)</f>
        <v>0</v>
      </c>
      <c r="AA29" s="17">
        <f>IF(AD29=15,I29,0)</f>
        <v>0</v>
      </c>
      <c r="AB29" s="17">
        <f>IF(AD29=21,I29,0)</f>
        <v>0</v>
      </c>
      <c r="AD29" s="34">
        <v>15</v>
      </c>
      <c r="AE29" s="34">
        <f>F29*0.394362104039523</f>
        <v>0</v>
      </c>
      <c r="AF29" s="34">
        <f>F29*(1-0.394362104039523)</f>
        <v>0</v>
      </c>
      <c r="AG29" s="29" t="s">
        <v>7</v>
      </c>
      <c r="AM29" s="34">
        <f>E29*AE29</f>
        <v>0</v>
      </c>
      <c r="AN29" s="34">
        <f>E29*AF29</f>
        <v>0</v>
      </c>
      <c r="AO29" s="35" t="s">
        <v>211</v>
      </c>
      <c r="AP29" s="35" t="s">
        <v>227</v>
      </c>
      <c r="AQ29" s="26" t="s">
        <v>234</v>
      </c>
      <c r="AS29" s="34">
        <f>AM29+AN29</f>
        <v>0</v>
      </c>
      <c r="AT29" s="34">
        <f>F29/(100-AU29)*100</f>
        <v>0</v>
      </c>
      <c r="AU29" s="34">
        <v>0</v>
      </c>
      <c r="AV29" s="34">
        <f>K29</f>
        <v>0.00272</v>
      </c>
    </row>
    <row r="30" spans="1:48" ht="12.75">
      <c r="A30" s="4" t="s">
        <v>15</v>
      </c>
      <c r="B30" s="4" t="s">
        <v>55</v>
      </c>
      <c r="C30" s="4" t="s">
        <v>115</v>
      </c>
      <c r="D30" s="4" t="s">
        <v>174</v>
      </c>
      <c r="E30" s="17">
        <v>560</v>
      </c>
      <c r="F30" s="17">
        <v>0</v>
      </c>
      <c r="G30" s="17">
        <f>E30*AE30</f>
        <v>0</v>
      </c>
      <c r="H30" s="17">
        <f>I30-G30</f>
        <v>0</v>
      </c>
      <c r="I30" s="17">
        <f>E30*F30</f>
        <v>0</v>
      </c>
      <c r="J30" s="17">
        <v>0.00925</v>
      </c>
      <c r="K30" s="17">
        <f>E30*J30</f>
        <v>5.18</v>
      </c>
      <c r="L30" s="29"/>
      <c r="P30" s="34">
        <f>IF(AG30="5",I30,0)</f>
        <v>0</v>
      </c>
      <c r="R30" s="34">
        <f>IF(AG30="1",G30,0)</f>
        <v>0</v>
      </c>
      <c r="S30" s="34">
        <f>IF(AG30="1",H30,0)</f>
        <v>0</v>
      </c>
      <c r="T30" s="34">
        <f>IF(AG30="7",G30,0)</f>
        <v>0</v>
      </c>
      <c r="U30" s="34">
        <f>IF(AG30="7",H30,0)</f>
        <v>0</v>
      </c>
      <c r="V30" s="34">
        <f>IF(AG30="2",G30,0)</f>
        <v>0</v>
      </c>
      <c r="W30" s="34">
        <f>IF(AG30="2",H30,0)</f>
        <v>0</v>
      </c>
      <c r="X30" s="34">
        <f>IF(AG30="0",I30,0)</f>
        <v>0</v>
      </c>
      <c r="Y30" s="26"/>
      <c r="Z30" s="17">
        <f>IF(AD30=0,I30,0)</f>
        <v>0</v>
      </c>
      <c r="AA30" s="17">
        <f>IF(AD30=15,I30,0)</f>
        <v>0</v>
      </c>
      <c r="AB30" s="17">
        <f>IF(AD30=21,I30,0)</f>
        <v>0</v>
      </c>
      <c r="AD30" s="34">
        <v>15</v>
      </c>
      <c r="AE30" s="34">
        <f>F30*0.680888030888031</f>
        <v>0</v>
      </c>
      <c r="AF30" s="34">
        <f>F30*(1-0.680888030888031)</f>
        <v>0</v>
      </c>
      <c r="AG30" s="29" t="s">
        <v>7</v>
      </c>
      <c r="AM30" s="34">
        <f>E30*AE30</f>
        <v>0</v>
      </c>
      <c r="AN30" s="34">
        <f>E30*AF30</f>
        <v>0</v>
      </c>
      <c r="AO30" s="35" t="s">
        <v>211</v>
      </c>
      <c r="AP30" s="35" t="s">
        <v>227</v>
      </c>
      <c r="AQ30" s="26" t="s">
        <v>234</v>
      </c>
      <c r="AS30" s="34">
        <f>AM30+AN30</f>
        <v>0</v>
      </c>
      <c r="AT30" s="34">
        <f>F30/(100-AU30)*100</f>
        <v>0</v>
      </c>
      <c r="AU30" s="34">
        <v>0</v>
      </c>
      <c r="AV30" s="34">
        <f>K30</f>
        <v>5.18</v>
      </c>
    </row>
    <row r="31" spans="2:12" ht="12.75">
      <c r="B31" s="14" t="s">
        <v>42</v>
      </c>
      <c r="C31" s="97" t="s">
        <v>116</v>
      </c>
      <c r="D31" s="98"/>
      <c r="E31" s="98"/>
      <c r="F31" s="98"/>
      <c r="G31" s="98"/>
      <c r="H31" s="98"/>
      <c r="I31" s="98"/>
      <c r="J31" s="98"/>
      <c r="K31" s="98"/>
      <c r="L31" s="98"/>
    </row>
    <row r="32" spans="1:48" ht="12.75">
      <c r="A32" s="4" t="s">
        <v>16</v>
      </c>
      <c r="B32" s="4" t="s">
        <v>56</v>
      </c>
      <c r="C32" s="4" t="s">
        <v>117</v>
      </c>
      <c r="D32" s="4" t="s">
        <v>174</v>
      </c>
      <c r="E32" s="17">
        <v>26.64</v>
      </c>
      <c r="F32" s="17">
        <v>0</v>
      </c>
      <c r="G32" s="17">
        <f>E32*AE32</f>
        <v>0</v>
      </c>
      <c r="H32" s="17">
        <f>I32-G32</f>
        <v>0</v>
      </c>
      <c r="I32" s="17">
        <f>E32*F32</f>
        <v>0</v>
      </c>
      <c r="J32" s="17">
        <v>0</v>
      </c>
      <c r="K32" s="17">
        <f>E32*J32</f>
        <v>0</v>
      </c>
      <c r="L32" s="29"/>
      <c r="P32" s="34">
        <f>IF(AG32="5",I32,0)</f>
        <v>0</v>
      </c>
      <c r="R32" s="34">
        <f>IF(AG32="1",G32,0)</f>
        <v>0</v>
      </c>
      <c r="S32" s="34">
        <f>IF(AG32="1",H32,0)</f>
        <v>0</v>
      </c>
      <c r="T32" s="34">
        <f>IF(AG32="7",G32,0)</f>
        <v>0</v>
      </c>
      <c r="U32" s="34">
        <f>IF(AG32="7",H32,0)</f>
        <v>0</v>
      </c>
      <c r="V32" s="34">
        <f>IF(AG32="2",G32,0)</f>
        <v>0</v>
      </c>
      <c r="W32" s="34">
        <f>IF(AG32="2",H32,0)</f>
        <v>0</v>
      </c>
      <c r="X32" s="34">
        <f>IF(AG32="0",I32,0)</f>
        <v>0</v>
      </c>
      <c r="Y32" s="26"/>
      <c r="Z32" s="17">
        <f>IF(AD32=0,I32,0)</f>
        <v>0</v>
      </c>
      <c r="AA32" s="17">
        <f>IF(AD32=15,I32,0)</f>
        <v>0</v>
      </c>
      <c r="AB32" s="17">
        <f>IF(AD32=21,I32,0)</f>
        <v>0</v>
      </c>
      <c r="AD32" s="34">
        <v>15</v>
      </c>
      <c r="AE32" s="34">
        <f>F32*0</f>
        <v>0</v>
      </c>
      <c r="AF32" s="34">
        <f>F32*(1-0)</f>
        <v>0</v>
      </c>
      <c r="AG32" s="29" t="s">
        <v>7</v>
      </c>
      <c r="AM32" s="34">
        <f>E32*AE32</f>
        <v>0</v>
      </c>
      <c r="AN32" s="34">
        <f>E32*AF32</f>
        <v>0</v>
      </c>
      <c r="AO32" s="35" t="s">
        <v>211</v>
      </c>
      <c r="AP32" s="35" t="s">
        <v>227</v>
      </c>
      <c r="AQ32" s="26" t="s">
        <v>234</v>
      </c>
      <c r="AS32" s="34">
        <f>AM32+AN32</f>
        <v>0</v>
      </c>
      <c r="AT32" s="34">
        <f>F32/(100-AU32)*100</f>
        <v>0</v>
      </c>
      <c r="AU32" s="34">
        <v>0</v>
      </c>
      <c r="AV32" s="34">
        <f>K32</f>
        <v>0</v>
      </c>
    </row>
    <row r="33" spans="2:12" ht="12.75">
      <c r="B33" s="14" t="s">
        <v>42</v>
      </c>
      <c r="C33" s="97" t="s">
        <v>118</v>
      </c>
      <c r="D33" s="98"/>
      <c r="E33" s="98"/>
      <c r="F33" s="98"/>
      <c r="G33" s="98"/>
      <c r="H33" s="98"/>
      <c r="I33" s="98"/>
      <c r="J33" s="98"/>
      <c r="K33" s="98"/>
      <c r="L33" s="98"/>
    </row>
    <row r="34" spans="1:48" ht="12.75">
      <c r="A34" s="4" t="s">
        <v>17</v>
      </c>
      <c r="B34" s="4" t="s">
        <v>57</v>
      </c>
      <c r="C34" s="4" t="s">
        <v>119</v>
      </c>
      <c r="D34" s="4" t="s">
        <v>174</v>
      </c>
      <c r="E34" s="17">
        <v>76.32</v>
      </c>
      <c r="F34" s="17">
        <v>0</v>
      </c>
      <c r="G34" s="17">
        <f>E34*AE34</f>
        <v>0</v>
      </c>
      <c r="H34" s="17">
        <f>I34-G34</f>
        <v>0</v>
      </c>
      <c r="I34" s="17">
        <f>E34*F34</f>
        <v>0</v>
      </c>
      <c r="J34" s="17">
        <v>0.07455</v>
      </c>
      <c r="K34" s="17">
        <f>E34*J34</f>
        <v>5.689656</v>
      </c>
      <c r="L34" s="29"/>
      <c r="P34" s="34">
        <f>IF(AG34="5",I34,0)</f>
        <v>0</v>
      </c>
      <c r="R34" s="34">
        <f>IF(AG34="1",G34,0)</f>
        <v>0</v>
      </c>
      <c r="S34" s="34">
        <f>IF(AG34="1",H34,0)</f>
        <v>0</v>
      </c>
      <c r="T34" s="34">
        <f>IF(AG34="7",G34,0)</f>
        <v>0</v>
      </c>
      <c r="U34" s="34">
        <f>IF(AG34="7",H34,0)</f>
        <v>0</v>
      </c>
      <c r="V34" s="34">
        <f>IF(AG34="2",G34,0)</f>
        <v>0</v>
      </c>
      <c r="W34" s="34">
        <f>IF(AG34="2",H34,0)</f>
        <v>0</v>
      </c>
      <c r="X34" s="34">
        <f>IF(AG34="0",I34,0)</f>
        <v>0</v>
      </c>
      <c r="Y34" s="26"/>
      <c r="Z34" s="17">
        <f>IF(AD34=0,I34,0)</f>
        <v>0</v>
      </c>
      <c r="AA34" s="17">
        <f>IF(AD34=15,I34,0)</f>
        <v>0</v>
      </c>
      <c r="AB34" s="17">
        <f>IF(AD34=21,I34,0)</f>
        <v>0</v>
      </c>
      <c r="AD34" s="34">
        <v>15</v>
      </c>
      <c r="AE34" s="34">
        <f>F34*0.660261904761905</f>
        <v>0</v>
      </c>
      <c r="AF34" s="34">
        <f>F34*(1-0.660261904761905)</f>
        <v>0</v>
      </c>
      <c r="AG34" s="29" t="s">
        <v>7</v>
      </c>
      <c r="AM34" s="34">
        <f>E34*AE34</f>
        <v>0</v>
      </c>
      <c r="AN34" s="34">
        <f>E34*AF34</f>
        <v>0</v>
      </c>
      <c r="AO34" s="35" t="s">
        <v>211</v>
      </c>
      <c r="AP34" s="35" t="s">
        <v>227</v>
      </c>
      <c r="AQ34" s="26" t="s">
        <v>234</v>
      </c>
      <c r="AS34" s="34">
        <f>AM34+AN34</f>
        <v>0</v>
      </c>
      <c r="AT34" s="34">
        <f>F34/(100-AU34)*100</f>
        <v>0</v>
      </c>
      <c r="AU34" s="34">
        <v>0</v>
      </c>
      <c r="AV34" s="34">
        <f>K34</f>
        <v>5.689656</v>
      </c>
    </row>
    <row r="35" spans="2:12" ht="12.75">
      <c r="B35" s="14" t="s">
        <v>42</v>
      </c>
      <c r="C35" s="97" t="s">
        <v>120</v>
      </c>
      <c r="D35" s="98"/>
      <c r="E35" s="98"/>
      <c r="F35" s="98"/>
      <c r="G35" s="98"/>
      <c r="H35" s="98"/>
      <c r="I35" s="98"/>
      <c r="J35" s="98"/>
      <c r="K35" s="98"/>
      <c r="L35" s="98"/>
    </row>
    <row r="36" spans="1:48" ht="12.75">
      <c r="A36" s="4" t="s">
        <v>18</v>
      </c>
      <c r="B36" s="4" t="s">
        <v>58</v>
      </c>
      <c r="C36" s="4" t="s">
        <v>121</v>
      </c>
      <c r="D36" s="4" t="s">
        <v>174</v>
      </c>
      <c r="E36" s="17">
        <v>560</v>
      </c>
      <c r="F36" s="17">
        <v>0</v>
      </c>
      <c r="G36" s="17">
        <f>E36*AE36</f>
        <v>0</v>
      </c>
      <c r="H36" s="17">
        <f>I36-G36</f>
        <v>0</v>
      </c>
      <c r="I36" s="17">
        <f>E36*F36</f>
        <v>0</v>
      </c>
      <c r="J36" s="17">
        <v>0.00058</v>
      </c>
      <c r="K36" s="17">
        <f>E36*J36</f>
        <v>0.3248</v>
      </c>
      <c r="L36" s="29"/>
      <c r="P36" s="34">
        <f>IF(AG36="5",I36,0)</f>
        <v>0</v>
      </c>
      <c r="R36" s="34">
        <f>IF(AG36="1",G36,0)</f>
        <v>0</v>
      </c>
      <c r="S36" s="34">
        <f>IF(AG36="1",H36,0)</f>
        <v>0</v>
      </c>
      <c r="T36" s="34">
        <f>IF(AG36="7",G36,0)</f>
        <v>0</v>
      </c>
      <c r="U36" s="34">
        <f>IF(AG36="7",H36,0)</f>
        <v>0</v>
      </c>
      <c r="V36" s="34">
        <f>IF(AG36="2",G36,0)</f>
        <v>0</v>
      </c>
      <c r="W36" s="34">
        <f>IF(AG36="2",H36,0)</f>
        <v>0</v>
      </c>
      <c r="X36" s="34">
        <f>IF(AG36="0",I36,0)</f>
        <v>0</v>
      </c>
      <c r="Y36" s="26"/>
      <c r="Z36" s="17">
        <f>IF(AD36=0,I36,0)</f>
        <v>0</v>
      </c>
      <c r="AA36" s="17">
        <f>IF(AD36=15,I36,0)</f>
        <v>0</v>
      </c>
      <c r="AB36" s="17">
        <f>IF(AD36=21,I36,0)</f>
        <v>0</v>
      </c>
      <c r="AD36" s="34">
        <v>15</v>
      </c>
      <c r="AE36" s="34">
        <f>F36*0.458892733564014</f>
        <v>0</v>
      </c>
      <c r="AF36" s="34">
        <f>F36*(1-0.458892733564014)</f>
        <v>0</v>
      </c>
      <c r="AG36" s="29" t="s">
        <v>7</v>
      </c>
      <c r="AM36" s="34">
        <f>E36*AE36</f>
        <v>0</v>
      </c>
      <c r="AN36" s="34">
        <f>E36*AF36</f>
        <v>0</v>
      </c>
      <c r="AO36" s="35" t="s">
        <v>211</v>
      </c>
      <c r="AP36" s="35" t="s">
        <v>227</v>
      </c>
      <c r="AQ36" s="26" t="s">
        <v>234</v>
      </c>
      <c r="AS36" s="34">
        <f>AM36+AN36</f>
        <v>0</v>
      </c>
      <c r="AT36" s="34">
        <f>F36/(100-AU36)*100</f>
        <v>0</v>
      </c>
      <c r="AU36" s="34">
        <v>0</v>
      </c>
      <c r="AV36" s="34">
        <f>K36</f>
        <v>0.3248</v>
      </c>
    </row>
    <row r="37" spans="2:12" ht="12.75">
      <c r="B37" s="14" t="s">
        <v>42</v>
      </c>
      <c r="C37" s="97" t="s">
        <v>122</v>
      </c>
      <c r="D37" s="98"/>
      <c r="E37" s="98"/>
      <c r="F37" s="98"/>
      <c r="G37" s="98"/>
      <c r="H37" s="98"/>
      <c r="I37" s="98"/>
      <c r="J37" s="98"/>
      <c r="K37" s="98"/>
      <c r="L37" s="98"/>
    </row>
    <row r="38" spans="1:48" ht="12.75">
      <c r="A38" s="4" t="s">
        <v>19</v>
      </c>
      <c r="B38" s="4" t="s">
        <v>59</v>
      </c>
      <c r="C38" s="4" t="s">
        <v>123</v>
      </c>
      <c r="D38" s="4" t="s">
        <v>174</v>
      </c>
      <c r="E38" s="17">
        <v>8</v>
      </c>
      <c r="F38" s="17">
        <v>0</v>
      </c>
      <c r="G38" s="17">
        <f>E38*AE38</f>
        <v>0</v>
      </c>
      <c r="H38" s="17">
        <f>I38-G38</f>
        <v>0</v>
      </c>
      <c r="I38" s="17">
        <f>E38*F38</f>
        <v>0</v>
      </c>
      <c r="J38" s="17">
        <v>0.00763</v>
      </c>
      <c r="K38" s="17">
        <f>E38*J38</f>
        <v>0.06104</v>
      </c>
      <c r="L38" s="29"/>
      <c r="P38" s="34">
        <f>IF(AG38="5",I38,0)</f>
        <v>0</v>
      </c>
      <c r="R38" s="34">
        <f>IF(AG38="1",G38,0)</f>
        <v>0</v>
      </c>
      <c r="S38" s="34">
        <f>IF(AG38="1",H38,0)</f>
        <v>0</v>
      </c>
      <c r="T38" s="34">
        <f>IF(AG38="7",G38,0)</f>
        <v>0</v>
      </c>
      <c r="U38" s="34">
        <f>IF(AG38="7",H38,0)</f>
        <v>0</v>
      </c>
      <c r="V38" s="34">
        <f>IF(AG38="2",G38,0)</f>
        <v>0</v>
      </c>
      <c r="W38" s="34">
        <f>IF(AG38="2",H38,0)</f>
        <v>0</v>
      </c>
      <c r="X38" s="34">
        <f>IF(AG38="0",I38,0)</f>
        <v>0</v>
      </c>
      <c r="Y38" s="26"/>
      <c r="Z38" s="17">
        <f>IF(AD38=0,I38,0)</f>
        <v>0</v>
      </c>
      <c r="AA38" s="17">
        <f>IF(AD38=15,I38,0)</f>
        <v>0</v>
      </c>
      <c r="AB38" s="17">
        <f>IF(AD38=21,I38,0)</f>
        <v>0</v>
      </c>
      <c r="AD38" s="34">
        <v>15</v>
      </c>
      <c r="AE38" s="34">
        <f>F38*0.0631460674157304</f>
        <v>0</v>
      </c>
      <c r="AF38" s="34">
        <f>F38*(1-0.0631460674157304)</f>
        <v>0</v>
      </c>
      <c r="AG38" s="29" t="s">
        <v>7</v>
      </c>
      <c r="AM38" s="34">
        <f>E38*AE38</f>
        <v>0</v>
      </c>
      <c r="AN38" s="34">
        <f>E38*AF38</f>
        <v>0</v>
      </c>
      <c r="AO38" s="35" t="s">
        <v>211</v>
      </c>
      <c r="AP38" s="35" t="s">
        <v>227</v>
      </c>
      <c r="AQ38" s="26" t="s">
        <v>234</v>
      </c>
      <c r="AS38" s="34">
        <f>AM38+AN38</f>
        <v>0</v>
      </c>
      <c r="AT38" s="34">
        <f>F38/(100-AU38)*100</f>
        <v>0</v>
      </c>
      <c r="AU38" s="34">
        <v>0</v>
      </c>
      <c r="AV38" s="34">
        <f>K38</f>
        <v>0.06104</v>
      </c>
    </row>
    <row r="39" spans="1:48" ht="12.75">
      <c r="A39" s="4" t="s">
        <v>20</v>
      </c>
      <c r="B39" s="4" t="s">
        <v>60</v>
      </c>
      <c r="C39" s="4" t="s">
        <v>124</v>
      </c>
      <c r="D39" s="4" t="s">
        <v>174</v>
      </c>
      <c r="E39" s="17">
        <v>100</v>
      </c>
      <c r="F39" s="17">
        <v>0</v>
      </c>
      <c r="G39" s="17">
        <f>E39*AE39</f>
        <v>0</v>
      </c>
      <c r="H39" s="17">
        <f>I39-G39</f>
        <v>0</v>
      </c>
      <c r="I39" s="17">
        <f>E39*F39</f>
        <v>0</v>
      </c>
      <c r="J39" s="17">
        <v>0.0001</v>
      </c>
      <c r="K39" s="17">
        <f>E39*J39</f>
        <v>0.01</v>
      </c>
      <c r="L39" s="29"/>
      <c r="P39" s="34">
        <f>IF(AG39="5",I39,0)</f>
        <v>0</v>
      </c>
      <c r="R39" s="34">
        <f>IF(AG39="1",G39,0)</f>
        <v>0</v>
      </c>
      <c r="S39" s="34">
        <f>IF(AG39="1",H39,0)</f>
        <v>0</v>
      </c>
      <c r="T39" s="34">
        <f>IF(AG39="7",G39,0)</f>
        <v>0</v>
      </c>
      <c r="U39" s="34">
        <f>IF(AG39="7",H39,0)</f>
        <v>0</v>
      </c>
      <c r="V39" s="34">
        <f>IF(AG39="2",G39,0)</f>
        <v>0</v>
      </c>
      <c r="W39" s="34">
        <f>IF(AG39="2",H39,0)</f>
        <v>0</v>
      </c>
      <c r="X39" s="34">
        <f>IF(AG39="0",I39,0)</f>
        <v>0</v>
      </c>
      <c r="Y39" s="26"/>
      <c r="Z39" s="17">
        <f>IF(AD39=0,I39,0)</f>
        <v>0</v>
      </c>
      <c r="AA39" s="17">
        <f>IF(AD39=15,I39,0)</f>
        <v>0</v>
      </c>
      <c r="AB39" s="17">
        <f>IF(AD39=21,I39,0)</f>
        <v>0</v>
      </c>
      <c r="AD39" s="34">
        <v>15</v>
      </c>
      <c r="AE39" s="34">
        <f>F39*0.216494845360825</f>
        <v>0</v>
      </c>
      <c r="AF39" s="34">
        <f>F39*(1-0.216494845360825)</f>
        <v>0</v>
      </c>
      <c r="AG39" s="29" t="s">
        <v>7</v>
      </c>
      <c r="AM39" s="34">
        <f>E39*AE39</f>
        <v>0</v>
      </c>
      <c r="AN39" s="34">
        <f>E39*AF39</f>
        <v>0</v>
      </c>
      <c r="AO39" s="35" t="s">
        <v>211</v>
      </c>
      <c r="AP39" s="35" t="s">
        <v>227</v>
      </c>
      <c r="AQ39" s="26" t="s">
        <v>234</v>
      </c>
      <c r="AS39" s="34">
        <f>AM39+AN39</f>
        <v>0</v>
      </c>
      <c r="AT39" s="34">
        <f>F39/(100-AU39)*100</f>
        <v>0</v>
      </c>
      <c r="AU39" s="34">
        <v>0</v>
      </c>
      <c r="AV39" s="34">
        <f>K39</f>
        <v>0.01</v>
      </c>
    </row>
    <row r="40" spans="1:48" ht="12.75">
      <c r="A40" s="4" t="s">
        <v>21</v>
      </c>
      <c r="B40" s="4" t="s">
        <v>61</v>
      </c>
      <c r="C40" s="4" t="s">
        <v>125</v>
      </c>
      <c r="D40" s="4" t="s">
        <v>174</v>
      </c>
      <c r="E40" s="17">
        <v>630</v>
      </c>
      <c r="F40" s="17">
        <v>0</v>
      </c>
      <c r="G40" s="17">
        <f>E40*AE40</f>
        <v>0</v>
      </c>
      <c r="H40" s="17">
        <f>I40-G40</f>
        <v>0</v>
      </c>
      <c r="I40" s="17">
        <f>E40*F40</f>
        <v>0</v>
      </c>
      <c r="J40" s="17">
        <v>2E-05</v>
      </c>
      <c r="K40" s="17">
        <f>E40*J40</f>
        <v>0.012600000000000002</v>
      </c>
      <c r="L40" s="29"/>
      <c r="P40" s="34">
        <f>IF(AG40="5",I40,0)</f>
        <v>0</v>
      </c>
      <c r="R40" s="34">
        <f>IF(AG40="1",G40,0)</f>
        <v>0</v>
      </c>
      <c r="S40" s="34">
        <f>IF(AG40="1",H40,0)</f>
        <v>0</v>
      </c>
      <c r="T40" s="34">
        <f>IF(AG40="7",G40,0)</f>
        <v>0</v>
      </c>
      <c r="U40" s="34">
        <f>IF(AG40="7",H40,0)</f>
        <v>0</v>
      </c>
      <c r="V40" s="34">
        <f>IF(AG40="2",G40,0)</f>
        <v>0</v>
      </c>
      <c r="W40" s="34">
        <f>IF(AG40="2",H40,0)</f>
        <v>0</v>
      </c>
      <c r="X40" s="34">
        <f>IF(AG40="0",I40,0)</f>
        <v>0</v>
      </c>
      <c r="Y40" s="26"/>
      <c r="Z40" s="17">
        <f>IF(AD40=0,I40,0)</f>
        <v>0</v>
      </c>
      <c r="AA40" s="17">
        <f>IF(AD40=15,I40,0)</f>
        <v>0</v>
      </c>
      <c r="AB40" s="17">
        <f>IF(AD40=21,I40,0)</f>
        <v>0</v>
      </c>
      <c r="AD40" s="34">
        <v>15</v>
      </c>
      <c r="AE40" s="34">
        <f>F40*0.0691891891891892</f>
        <v>0</v>
      </c>
      <c r="AF40" s="34">
        <f>F40*(1-0.0691891891891892)</f>
        <v>0</v>
      </c>
      <c r="AG40" s="29" t="s">
        <v>7</v>
      </c>
      <c r="AM40" s="34">
        <f>E40*AE40</f>
        <v>0</v>
      </c>
      <c r="AN40" s="34">
        <f>E40*AF40</f>
        <v>0</v>
      </c>
      <c r="AO40" s="35" t="s">
        <v>211</v>
      </c>
      <c r="AP40" s="35" t="s">
        <v>227</v>
      </c>
      <c r="AQ40" s="26" t="s">
        <v>234</v>
      </c>
      <c r="AS40" s="34">
        <f>AM40+AN40</f>
        <v>0</v>
      </c>
      <c r="AT40" s="34">
        <f>F40/(100-AU40)*100</f>
        <v>0</v>
      </c>
      <c r="AU40" s="34">
        <v>0</v>
      </c>
      <c r="AV40" s="34">
        <f>K40</f>
        <v>0.012600000000000002</v>
      </c>
    </row>
    <row r="41" spans="1:37" ht="12.75">
      <c r="A41" s="5"/>
      <c r="B41" s="13" t="s">
        <v>62</v>
      </c>
      <c r="C41" s="95" t="s">
        <v>126</v>
      </c>
      <c r="D41" s="96"/>
      <c r="E41" s="96"/>
      <c r="F41" s="96"/>
      <c r="G41" s="37">
        <f>SUM(G42:G42)</f>
        <v>0</v>
      </c>
      <c r="H41" s="37">
        <f>SUM(H42:H42)</f>
        <v>0</v>
      </c>
      <c r="I41" s="37">
        <f>G41+H41</f>
        <v>0</v>
      </c>
      <c r="J41" s="26"/>
      <c r="K41" s="37">
        <f>SUM(K42:K42)</f>
        <v>0.03889600000000001</v>
      </c>
      <c r="L41" s="26"/>
      <c r="Y41" s="26"/>
      <c r="AI41" s="37">
        <f>SUM(Z42:Z42)</f>
        <v>0</v>
      </c>
      <c r="AJ41" s="37">
        <f>SUM(AA42:AA42)</f>
        <v>0</v>
      </c>
      <c r="AK41" s="37">
        <f>SUM(AB42:AB42)</f>
        <v>0</v>
      </c>
    </row>
    <row r="42" spans="1:48" ht="12.75">
      <c r="A42" s="4" t="s">
        <v>22</v>
      </c>
      <c r="B42" s="4" t="s">
        <v>63</v>
      </c>
      <c r="C42" s="4" t="s">
        <v>127</v>
      </c>
      <c r="D42" s="4" t="s">
        <v>174</v>
      </c>
      <c r="E42" s="17">
        <v>57.2</v>
      </c>
      <c r="F42" s="17">
        <v>0</v>
      </c>
      <c r="G42" s="17">
        <f>E42*AE42</f>
        <v>0</v>
      </c>
      <c r="H42" s="17">
        <f>I42-G42</f>
        <v>0</v>
      </c>
      <c r="I42" s="17">
        <f>E42*F42</f>
        <v>0</v>
      </c>
      <c r="J42" s="17">
        <v>0.00068</v>
      </c>
      <c r="K42" s="17">
        <f>E42*J42</f>
        <v>0.03889600000000001</v>
      </c>
      <c r="L42" s="29"/>
      <c r="P42" s="34">
        <f>IF(AG42="5",I42,0)</f>
        <v>0</v>
      </c>
      <c r="R42" s="34">
        <f>IF(AG42="1",G42,0)</f>
        <v>0</v>
      </c>
      <c r="S42" s="34">
        <f>IF(AG42="1",H42,0)</f>
        <v>0</v>
      </c>
      <c r="T42" s="34">
        <f>IF(AG42="7",G42,0)</f>
        <v>0</v>
      </c>
      <c r="U42" s="34">
        <f>IF(AG42="7",H42,0)</f>
        <v>0</v>
      </c>
      <c r="V42" s="34">
        <f>IF(AG42="2",G42,0)</f>
        <v>0</v>
      </c>
      <c r="W42" s="34">
        <f>IF(AG42="2",H42,0)</f>
        <v>0</v>
      </c>
      <c r="X42" s="34">
        <f>IF(AG42="0",I42,0)</f>
        <v>0</v>
      </c>
      <c r="Y42" s="26"/>
      <c r="Z42" s="17">
        <f>IF(AD42=0,I42,0)</f>
        <v>0</v>
      </c>
      <c r="AA42" s="17">
        <f>IF(AD42=15,I42,0)</f>
        <v>0</v>
      </c>
      <c r="AB42" s="17">
        <f>IF(AD42=21,I42,0)</f>
        <v>0</v>
      </c>
      <c r="AD42" s="34">
        <v>15</v>
      </c>
      <c r="AE42" s="34">
        <f>F42*0.485011820330969</f>
        <v>0</v>
      </c>
      <c r="AF42" s="34">
        <f>F42*(1-0.485011820330969)</f>
        <v>0</v>
      </c>
      <c r="AG42" s="29" t="s">
        <v>13</v>
      </c>
      <c r="AM42" s="34">
        <f>E42*AE42</f>
        <v>0</v>
      </c>
      <c r="AN42" s="34">
        <f>E42*AF42</f>
        <v>0</v>
      </c>
      <c r="AO42" s="35" t="s">
        <v>212</v>
      </c>
      <c r="AP42" s="35" t="s">
        <v>228</v>
      </c>
      <c r="AQ42" s="26" t="s">
        <v>234</v>
      </c>
      <c r="AS42" s="34">
        <f>AM42+AN42</f>
        <v>0</v>
      </c>
      <c r="AT42" s="34">
        <f>F42/(100-AU42)*100</f>
        <v>0</v>
      </c>
      <c r="AU42" s="34">
        <v>0</v>
      </c>
      <c r="AV42" s="34">
        <f>K42</f>
        <v>0.03889600000000001</v>
      </c>
    </row>
    <row r="43" spans="2:12" ht="12.75">
      <c r="B43" s="14" t="s">
        <v>42</v>
      </c>
      <c r="C43" s="97" t="s">
        <v>128</v>
      </c>
      <c r="D43" s="98"/>
      <c r="E43" s="98"/>
      <c r="F43" s="98"/>
      <c r="G43" s="98"/>
      <c r="H43" s="98"/>
      <c r="I43" s="98"/>
      <c r="J43" s="98"/>
      <c r="K43" s="98"/>
      <c r="L43" s="98"/>
    </row>
    <row r="44" spans="1:37" ht="12.75">
      <c r="A44" s="5"/>
      <c r="B44" s="13" t="s">
        <v>64</v>
      </c>
      <c r="C44" s="95" t="s">
        <v>129</v>
      </c>
      <c r="D44" s="96"/>
      <c r="E44" s="96"/>
      <c r="F44" s="96"/>
      <c r="G44" s="37">
        <f>SUM(G45:G46)</f>
        <v>0</v>
      </c>
      <c r="H44" s="37">
        <f>SUM(H45:H46)</f>
        <v>0</v>
      </c>
      <c r="I44" s="37">
        <f>G44+H44</f>
        <v>0</v>
      </c>
      <c r="J44" s="26"/>
      <c r="K44" s="37">
        <f>SUM(K45:K46)</f>
        <v>0.13546</v>
      </c>
      <c r="L44" s="26"/>
      <c r="Y44" s="26"/>
      <c r="AI44" s="37">
        <f>SUM(Z45:Z46)</f>
        <v>0</v>
      </c>
      <c r="AJ44" s="37">
        <f>SUM(AA45:AA46)</f>
        <v>0</v>
      </c>
      <c r="AK44" s="37">
        <f>SUM(AB45:AB46)</f>
        <v>0</v>
      </c>
    </row>
    <row r="45" spans="1:48" ht="12.75">
      <c r="A45" s="4" t="s">
        <v>23</v>
      </c>
      <c r="B45" s="4" t="s">
        <v>65</v>
      </c>
      <c r="C45" s="4" t="s">
        <v>130</v>
      </c>
      <c r="D45" s="4" t="s">
        <v>177</v>
      </c>
      <c r="E45" s="17">
        <v>50</v>
      </c>
      <c r="F45" s="17">
        <v>0</v>
      </c>
      <c r="G45" s="17">
        <f>E45*AE45</f>
        <v>0</v>
      </c>
      <c r="H45" s="17">
        <f>I45-G45</f>
        <v>0</v>
      </c>
      <c r="I45" s="17">
        <f>E45*F45</f>
        <v>0</v>
      </c>
      <c r="J45" s="17">
        <v>0.00263</v>
      </c>
      <c r="K45" s="17">
        <f>E45*J45</f>
        <v>0.1315</v>
      </c>
      <c r="L45" s="29"/>
      <c r="P45" s="34">
        <f>IF(AG45="5",I45,0)</f>
        <v>0</v>
      </c>
      <c r="R45" s="34">
        <f>IF(AG45="1",G45,0)</f>
        <v>0</v>
      </c>
      <c r="S45" s="34">
        <f>IF(AG45="1",H45,0)</f>
        <v>0</v>
      </c>
      <c r="T45" s="34">
        <f>IF(AG45="7",G45,0)</f>
        <v>0</v>
      </c>
      <c r="U45" s="34">
        <f>IF(AG45="7",H45,0)</f>
        <v>0</v>
      </c>
      <c r="V45" s="34">
        <f>IF(AG45="2",G45,0)</f>
        <v>0</v>
      </c>
      <c r="W45" s="34">
        <f>IF(AG45="2",H45,0)</f>
        <v>0</v>
      </c>
      <c r="X45" s="34">
        <f>IF(AG45="0",I45,0)</f>
        <v>0</v>
      </c>
      <c r="Y45" s="26"/>
      <c r="Z45" s="17">
        <f>IF(AD45=0,I45,0)</f>
        <v>0</v>
      </c>
      <c r="AA45" s="17">
        <f>IF(AD45=15,I45,0)</f>
        <v>0</v>
      </c>
      <c r="AB45" s="17">
        <f>IF(AD45=21,I45,0)</f>
        <v>0</v>
      </c>
      <c r="AD45" s="34">
        <v>15</v>
      </c>
      <c r="AE45" s="34">
        <f>F45*0.315415162454874</f>
        <v>0</v>
      </c>
      <c r="AF45" s="34">
        <f>F45*(1-0.315415162454874)</f>
        <v>0</v>
      </c>
      <c r="AG45" s="29" t="s">
        <v>13</v>
      </c>
      <c r="AM45" s="34">
        <f>E45*AE45</f>
        <v>0</v>
      </c>
      <c r="AN45" s="34">
        <f>E45*AF45</f>
        <v>0</v>
      </c>
      <c r="AO45" s="35" t="s">
        <v>213</v>
      </c>
      <c r="AP45" s="35" t="s">
        <v>229</v>
      </c>
      <c r="AQ45" s="26" t="s">
        <v>234</v>
      </c>
      <c r="AS45" s="34">
        <f>AM45+AN45</f>
        <v>0</v>
      </c>
      <c r="AT45" s="34">
        <f>F45/(100-AU45)*100</f>
        <v>0</v>
      </c>
      <c r="AU45" s="34">
        <v>0</v>
      </c>
      <c r="AV45" s="34">
        <f>K45</f>
        <v>0.1315</v>
      </c>
    </row>
    <row r="46" spans="1:48" ht="12.75">
      <c r="A46" s="4" t="s">
        <v>24</v>
      </c>
      <c r="B46" s="4" t="s">
        <v>66</v>
      </c>
      <c r="C46" s="4" t="s">
        <v>131</v>
      </c>
      <c r="D46" s="4" t="s">
        <v>178</v>
      </c>
      <c r="E46" s="17">
        <v>6</v>
      </c>
      <c r="F46" s="17">
        <v>0</v>
      </c>
      <c r="G46" s="17">
        <f>E46*AE46</f>
        <v>0</v>
      </c>
      <c r="H46" s="17">
        <f>I46-G46</f>
        <v>0</v>
      </c>
      <c r="I46" s="17">
        <f>E46*F46</f>
        <v>0</v>
      </c>
      <c r="J46" s="17">
        <v>0.00066</v>
      </c>
      <c r="K46" s="17">
        <f>E46*J46</f>
        <v>0.00396</v>
      </c>
      <c r="L46" s="29"/>
      <c r="P46" s="34">
        <f>IF(AG46="5",I46,0)</f>
        <v>0</v>
      </c>
      <c r="R46" s="34">
        <f>IF(AG46="1",G46,0)</f>
        <v>0</v>
      </c>
      <c r="S46" s="34">
        <f>IF(AG46="1",H46,0)</f>
        <v>0</v>
      </c>
      <c r="T46" s="34">
        <f>IF(AG46="7",G46,0)</f>
        <v>0</v>
      </c>
      <c r="U46" s="34">
        <f>IF(AG46="7",H46,0)</f>
        <v>0</v>
      </c>
      <c r="V46" s="34">
        <f>IF(AG46="2",G46,0)</f>
        <v>0</v>
      </c>
      <c r="W46" s="34">
        <f>IF(AG46="2",H46,0)</f>
        <v>0</v>
      </c>
      <c r="X46" s="34">
        <f>IF(AG46="0",I46,0)</f>
        <v>0</v>
      </c>
      <c r="Y46" s="26"/>
      <c r="Z46" s="17">
        <f>IF(AD46=0,I46,0)</f>
        <v>0</v>
      </c>
      <c r="AA46" s="17">
        <f>IF(AD46=15,I46,0)</f>
        <v>0</v>
      </c>
      <c r="AB46" s="17">
        <f>IF(AD46=21,I46,0)</f>
        <v>0</v>
      </c>
      <c r="AD46" s="34">
        <v>15</v>
      </c>
      <c r="AE46" s="34">
        <f>F46*0.370578378378378</f>
        <v>0</v>
      </c>
      <c r="AF46" s="34">
        <f>F46*(1-0.370578378378378)</f>
        <v>0</v>
      </c>
      <c r="AG46" s="29" t="s">
        <v>13</v>
      </c>
      <c r="AM46" s="34">
        <f>E46*AE46</f>
        <v>0</v>
      </c>
      <c r="AN46" s="34">
        <f>E46*AF46</f>
        <v>0</v>
      </c>
      <c r="AO46" s="35" t="s">
        <v>213</v>
      </c>
      <c r="AP46" s="35" t="s">
        <v>229</v>
      </c>
      <c r="AQ46" s="26" t="s">
        <v>234</v>
      </c>
      <c r="AS46" s="34">
        <f>AM46+AN46</f>
        <v>0</v>
      </c>
      <c r="AT46" s="34">
        <f>F46/(100-AU46)*100</f>
        <v>0</v>
      </c>
      <c r="AU46" s="34">
        <v>0</v>
      </c>
      <c r="AV46" s="34">
        <f>K46</f>
        <v>0.00396</v>
      </c>
    </row>
    <row r="47" spans="2:12" ht="12.75">
      <c r="B47" s="14" t="s">
        <v>42</v>
      </c>
      <c r="C47" s="97" t="s">
        <v>132</v>
      </c>
      <c r="D47" s="98"/>
      <c r="E47" s="98"/>
      <c r="F47" s="98"/>
      <c r="G47" s="98"/>
      <c r="H47" s="98"/>
      <c r="I47" s="98"/>
      <c r="J47" s="98"/>
      <c r="K47" s="98"/>
      <c r="L47" s="98"/>
    </row>
    <row r="48" spans="1:37" ht="12.75">
      <c r="A48" s="5"/>
      <c r="B48" s="13" t="s">
        <v>67</v>
      </c>
      <c r="C48" s="95" t="s">
        <v>133</v>
      </c>
      <c r="D48" s="96"/>
      <c r="E48" s="96"/>
      <c r="F48" s="96"/>
      <c r="G48" s="37">
        <f>SUM(G49:G51)</f>
        <v>0</v>
      </c>
      <c r="H48" s="37">
        <f>SUM(H49:H51)</f>
        <v>0</v>
      </c>
      <c r="I48" s="37">
        <f>G48+H48</f>
        <v>0</v>
      </c>
      <c r="J48" s="26"/>
      <c r="K48" s="37">
        <f>SUM(K49:K51)</f>
        <v>0.01052</v>
      </c>
      <c r="L48" s="26"/>
      <c r="Y48" s="26"/>
      <c r="AI48" s="37">
        <f>SUM(Z49:Z51)</f>
        <v>0</v>
      </c>
      <c r="AJ48" s="37">
        <f>SUM(AA49:AA51)</f>
        <v>0</v>
      </c>
      <c r="AK48" s="37">
        <f>SUM(AB49:AB51)</f>
        <v>0</v>
      </c>
    </row>
    <row r="49" spans="1:48" ht="12.75">
      <c r="A49" s="4" t="s">
        <v>25</v>
      </c>
      <c r="B49" s="4" t="s">
        <v>68</v>
      </c>
      <c r="C49" s="4" t="s">
        <v>134</v>
      </c>
      <c r="D49" s="4" t="s">
        <v>178</v>
      </c>
      <c r="E49" s="17">
        <v>11</v>
      </c>
      <c r="F49" s="17">
        <v>0</v>
      </c>
      <c r="G49" s="17">
        <f>E49*AE49</f>
        <v>0</v>
      </c>
      <c r="H49" s="17">
        <f>I49-G49</f>
        <v>0</v>
      </c>
      <c r="I49" s="17">
        <f>E49*F49</f>
        <v>0</v>
      </c>
      <c r="J49" s="17">
        <v>0.0009</v>
      </c>
      <c r="K49" s="17">
        <f>E49*J49</f>
        <v>0.009899999999999999</v>
      </c>
      <c r="L49" s="29"/>
      <c r="P49" s="34">
        <f>IF(AG49="5",I49,0)</f>
        <v>0</v>
      </c>
      <c r="R49" s="34">
        <f>IF(AG49="1",G49,0)</f>
        <v>0</v>
      </c>
      <c r="S49" s="34">
        <f>IF(AG49="1",H49,0)</f>
        <v>0</v>
      </c>
      <c r="T49" s="34">
        <f>IF(AG49="7",G49,0)</f>
        <v>0</v>
      </c>
      <c r="U49" s="34">
        <f>IF(AG49="7",H49,0)</f>
        <v>0</v>
      </c>
      <c r="V49" s="34">
        <f>IF(AG49="2",G49,0)</f>
        <v>0</v>
      </c>
      <c r="W49" s="34">
        <f>IF(AG49="2",H49,0)</f>
        <v>0</v>
      </c>
      <c r="X49" s="34">
        <f>IF(AG49="0",I49,0)</f>
        <v>0</v>
      </c>
      <c r="Y49" s="26"/>
      <c r="Z49" s="17">
        <f>IF(AD49=0,I49,0)</f>
        <v>0</v>
      </c>
      <c r="AA49" s="17">
        <f>IF(AD49=15,I49,0)</f>
        <v>0</v>
      </c>
      <c r="AB49" s="17">
        <f>IF(AD49=21,I49,0)</f>
        <v>0</v>
      </c>
      <c r="AD49" s="34">
        <v>15</v>
      </c>
      <c r="AE49" s="34">
        <f>F49*0.11344126984127</f>
        <v>0</v>
      </c>
      <c r="AF49" s="34">
        <f>F49*(1-0.11344126984127)</f>
        <v>0</v>
      </c>
      <c r="AG49" s="29" t="s">
        <v>13</v>
      </c>
      <c r="AM49" s="34">
        <f>E49*AE49</f>
        <v>0</v>
      </c>
      <c r="AN49" s="34">
        <f>E49*AF49</f>
        <v>0</v>
      </c>
      <c r="AO49" s="35" t="s">
        <v>214</v>
      </c>
      <c r="AP49" s="35" t="s">
        <v>229</v>
      </c>
      <c r="AQ49" s="26" t="s">
        <v>234</v>
      </c>
      <c r="AS49" s="34">
        <f>AM49+AN49</f>
        <v>0</v>
      </c>
      <c r="AT49" s="34">
        <f>F49/(100-AU49)*100</f>
        <v>0</v>
      </c>
      <c r="AU49" s="34">
        <v>0</v>
      </c>
      <c r="AV49" s="34">
        <f>K49</f>
        <v>0.009899999999999999</v>
      </c>
    </row>
    <row r="50" spans="2:12" ht="25.5" customHeight="1">
      <c r="B50" s="14" t="s">
        <v>42</v>
      </c>
      <c r="C50" s="97" t="s">
        <v>135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1:48" ht="12.75">
      <c r="A51" s="4" t="s">
        <v>26</v>
      </c>
      <c r="B51" s="4" t="s">
        <v>69</v>
      </c>
      <c r="C51" s="4" t="s">
        <v>136</v>
      </c>
      <c r="D51" s="4" t="s">
        <v>174</v>
      </c>
      <c r="E51" s="17">
        <v>2</v>
      </c>
      <c r="F51" s="17">
        <v>0</v>
      </c>
      <c r="G51" s="17">
        <f>E51*AE51</f>
        <v>0</v>
      </c>
      <c r="H51" s="17">
        <f>I51-G51</f>
        <v>0</v>
      </c>
      <c r="I51" s="17">
        <f>E51*F51</f>
        <v>0</v>
      </c>
      <c r="J51" s="17">
        <v>0.00031</v>
      </c>
      <c r="K51" s="17">
        <f>E51*J51</f>
        <v>0.00062</v>
      </c>
      <c r="L51" s="29"/>
      <c r="P51" s="34">
        <f>IF(AG51="5",I51,0)</f>
        <v>0</v>
      </c>
      <c r="R51" s="34">
        <f>IF(AG51="1",G51,0)</f>
        <v>0</v>
      </c>
      <c r="S51" s="34">
        <f>IF(AG51="1",H51,0)</f>
        <v>0</v>
      </c>
      <c r="T51" s="34">
        <f>IF(AG51="7",G51,0)</f>
        <v>0</v>
      </c>
      <c r="U51" s="34">
        <f>IF(AG51="7",H51,0)</f>
        <v>0</v>
      </c>
      <c r="V51" s="34">
        <f>IF(AG51="2",G51,0)</f>
        <v>0</v>
      </c>
      <c r="W51" s="34">
        <f>IF(AG51="2",H51,0)</f>
        <v>0</v>
      </c>
      <c r="X51" s="34">
        <f>IF(AG51="0",I51,0)</f>
        <v>0</v>
      </c>
      <c r="Y51" s="26"/>
      <c r="Z51" s="17">
        <f>IF(AD51=0,I51,0)</f>
        <v>0</v>
      </c>
      <c r="AA51" s="17">
        <f>IF(AD51=15,I51,0)</f>
        <v>0</v>
      </c>
      <c r="AB51" s="17">
        <f>IF(AD51=21,I51,0)</f>
        <v>0</v>
      </c>
      <c r="AD51" s="34">
        <v>15</v>
      </c>
      <c r="AE51" s="34">
        <f>F51*0.0406470588235294</f>
        <v>0</v>
      </c>
      <c r="AF51" s="34">
        <f>F51*(1-0.0406470588235294)</f>
        <v>0</v>
      </c>
      <c r="AG51" s="29" t="s">
        <v>13</v>
      </c>
      <c r="AM51" s="34">
        <f>E51*AE51</f>
        <v>0</v>
      </c>
      <c r="AN51" s="34">
        <f>E51*AF51</f>
        <v>0</v>
      </c>
      <c r="AO51" s="35" t="s">
        <v>214</v>
      </c>
      <c r="AP51" s="35" t="s">
        <v>229</v>
      </c>
      <c r="AQ51" s="26" t="s">
        <v>234</v>
      </c>
      <c r="AS51" s="34">
        <f>AM51+AN51</f>
        <v>0</v>
      </c>
      <c r="AT51" s="34">
        <f>F51/(100-AU51)*100</f>
        <v>0</v>
      </c>
      <c r="AU51" s="34">
        <v>0</v>
      </c>
      <c r="AV51" s="34">
        <f>K51</f>
        <v>0.00062</v>
      </c>
    </row>
    <row r="52" spans="2:12" ht="12.75">
      <c r="B52" s="14" t="s">
        <v>42</v>
      </c>
      <c r="C52" s="97" t="s">
        <v>137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1:37" ht="12.75">
      <c r="A53" s="5"/>
      <c r="B53" s="13" t="s">
        <v>70</v>
      </c>
      <c r="C53" s="95" t="s">
        <v>138</v>
      </c>
      <c r="D53" s="96"/>
      <c r="E53" s="96"/>
      <c r="F53" s="96"/>
      <c r="G53" s="37">
        <f>SUM(G54:G56)</f>
        <v>0</v>
      </c>
      <c r="H53" s="37">
        <f>SUM(H54:H56)</f>
        <v>0</v>
      </c>
      <c r="I53" s="37">
        <f>G53+H53</f>
        <v>0</v>
      </c>
      <c r="J53" s="26"/>
      <c r="K53" s="37">
        <f>SUM(K54:K56)</f>
        <v>0.027872400000000002</v>
      </c>
      <c r="L53" s="26"/>
      <c r="Y53" s="26"/>
      <c r="AI53" s="37">
        <f>SUM(Z54:Z56)</f>
        <v>0</v>
      </c>
      <c r="AJ53" s="37">
        <f>SUM(AA54:AA56)</f>
        <v>0</v>
      </c>
      <c r="AK53" s="37">
        <f>SUM(AB54:AB56)</f>
        <v>0</v>
      </c>
    </row>
    <row r="54" spans="1:48" ht="12.75">
      <c r="A54" s="4" t="s">
        <v>27</v>
      </c>
      <c r="B54" s="4" t="s">
        <v>71</v>
      </c>
      <c r="C54" s="4" t="s">
        <v>139</v>
      </c>
      <c r="D54" s="4" t="s">
        <v>174</v>
      </c>
      <c r="E54" s="17">
        <v>26.64</v>
      </c>
      <c r="F54" s="17">
        <v>0</v>
      </c>
      <c r="G54" s="17">
        <f>E54*AE54</f>
        <v>0</v>
      </c>
      <c r="H54" s="17">
        <f>I54-G54</f>
        <v>0</v>
      </c>
      <c r="I54" s="17">
        <f>E54*F54</f>
        <v>0</v>
      </c>
      <c r="J54" s="17">
        <v>0.00066</v>
      </c>
      <c r="K54" s="17">
        <f>E54*J54</f>
        <v>0.0175824</v>
      </c>
      <c r="L54" s="29"/>
      <c r="P54" s="34">
        <f>IF(AG54="5",I54,0)</f>
        <v>0</v>
      </c>
      <c r="R54" s="34">
        <f>IF(AG54="1",G54,0)</f>
        <v>0</v>
      </c>
      <c r="S54" s="34">
        <f>IF(AG54="1",H54,0)</f>
        <v>0</v>
      </c>
      <c r="T54" s="34">
        <f>IF(AG54="7",G54,0)</f>
        <v>0</v>
      </c>
      <c r="U54" s="34">
        <f>IF(AG54="7",H54,0)</f>
        <v>0</v>
      </c>
      <c r="V54" s="34">
        <f>IF(AG54="2",G54,0)</f>
        <v>0</v>
      </c>
      <c r="W54" s="34">
        <f>IF(AG54="2",H54,0)</f>
        <v>0</v>
      </c>
      <c r="X54" s="34">
        <f>IF(AG54="0",I54,0)</f>
        <v>0</v>
      </c>
      <c r="Y54" s="26"/>
      <c r="Z54" s="17">
        <f>IF(AD54=0,I54,0)</f>
        <v>0</v>
      </c>
      <c r="AA54" s="17">
        <f>IF(AD54=15,I54,0)</f>
        <v>0</v>
      </c>
      <c r="AB54" s="17">
        <f>IF(AD54=21,I54,0)</f>
        <v>0</v>
      </c>
      <c r="AD54" s="34">
        <v>15</v>
      </c>
      <c r="AE54" s="34">
        <f>F54*0.922579034941764</f>
        <v>0</v>
      </c>
      <c r="AF54" s="34">
        <f>F54*(1-0.922579034941764)</f>
        <v>0</v>
      </c>
      <c r="AG54" s="29" t="s">
        <v>13</v>
      </c>
      <c r="AM54" s="34">
        <f>E54*AE54</f>
        <v>0</v>
      </c>
      <c r="AN54" s="34">
        <f>E54*AF54</f>
        <v>0</v>
      </c>
      <c r="AO54" s="35" t="s">
        <v>215</v>
      </c>
      <c r="AP54" s="35" t="s">
        <v>230</v>
      </c>
      <c r="AQ54" s="26" t="s">
        <v>234</v>
      </c>
      <c r="AS54" s="34">
        <f>AM54+AN54</f>
        <v>0</v>
      </c>
      <c r="AT54" s="34">
        <f>F54/(100-AU54)*100</f>
        <v>0</v>
      </c>
      <c r="AU54" s="34">
        <v>0</v>
      </c>
      <c r="AV54" s="34">
        <f>K54</f>
        <v>0.0175824</v>
      </c>
    </row>
    <row r="55" spans="2:12" ht="12.75">
      <c r="B55" s="14" t="s">
        <v>42</v>
      </c>
      <c r="C55" s="97" t="s">
        <v>140</v>
      </c>
      <c r="D55" s="98"/>
      <c r="E55" s="98"/>
      <c r="F55" s="98"/>
      <c r="G55" s="98"/>
      <c r="H55" s="98"/>
      <c r="I55" s="98"/>
      <c r="J55" s="98"/>
      <c r="K55" s="98"/>
      <c r="L55" s="98"/>
    </row>
    <row r="56" spans="1:48" ht="12.75">
      <c r="A56" s="4" t="s">
        <v>28</v>
      </c>
      <c r="B56" s="4" t="s">
        <v>72</v>
      </c>
      <c r="C56" s="4" t="s">
        <v>141</v>
      </c>
      <c r="D56" s="4" t="s">
        <v>174</v>
      </c>
      <c r="E56" s="17">
        <v>21</v>
      </c>
      <c r="F56" s="17">
        <v>0</v>
      </c>
      <c r="G56" s="17">
        <f>E56*AE56</f>
        <v>0</v>
      </c>
      <c r="H56" s="17">
        <f>I56-G56</f>
        <v>0</v>
      </c>
      <c r="I56" s="17">
        <f>E56*F56</f>
        <v>0</v>
      </c>
      <c r="J56" s="17">
        <v>0.00049</v>
      </c>
      <c r="K56" s="17">
        <f>E56*J56</f>
        <v>0.01029</v>
      </c>
      <c r="L56" s="29"/>
      <c r="P56" s="34">
        <f>IF(AG56="5",I56,0)</f>
        <v>0</v>
      </c>
      <c r="R56" s="34">
        <f>IF(AG56="1",G56,0)</f>
        <v>0</v>
      </c>
      <c r="S56" s="34">
        <f>IF(AG56="1",H56,0)</f>
        <v>0</v>
      </c>
      <c r="T56" s="34">
        <f>IF(AG56="7",G56,0)</f>
        <v>0</v>
      </c>
      <c r="U56" s="34">
        <f>IF(AG56="7",H56,0)</f>
        <v>0</v>
      </c>
      <c r="V56" s="34">
        <f>IF(AG56="2",G56,0)</f>
        <v>0</v>
      </c>
      <c r="W56" s="34">
        <f>IF(AG56="2",H56,0)</f>
        <v>0</v>
      </c>
      <c r="X56" s="34">
        <f>IF(AG56="0",I56,0)</f>
        <v>0</v>
      </c>
      <c r="Y56" s="26"/>
      <c r="Z56" s="17">
        <f>IF(AD56=0,I56,0)</f>
        <v>0</v>
      </c>
      <c r="AA56" s="17">
        <f>IF(AD56=15,I56,0)</f>
        <v>0</v>
      </c>
      <c r="AB56" s="17">
        <f>IF(AD56=21,I56,0)</f>
        <v>0</v>
      </c>
      <c r="AD56" s="34">
        <v>15</v>
      </c>
      <c r="AE56" s="34">
        <f>F56*0.457694610778443</f>
        <v>0</v>
      </c>
      <c r="AF56" s="34">
        <f>F56*(1-0.457694610778443)</f>
        <v>0</v>
      </c>
      <c r="AG56" s="29" t="s">
        <v>13</v>
      </c>
      <c r="AM56" s="34">
        <f>E56*AE56</f>
        <v>0</v>
      </c>
      <c r="AN56" s="34">
        <f>E56*AF56</f>
        <v>0</v>
      </c>
      <c r="AO56" s="35" t="s">
        <v>215</v>
      </c>
      <c r="AP56" s="35" t="s">
        <v>230</v>
      </c>
      <c r="AQ56" s="26" t="s">
        <v>234</v>
      </c>
      <c r="AS56" s="34">
        <f>AM56+AN56</f>
        <v>0</v>
      </c>
      <c r="AT56" s="34">
        <f>F56/(100-AU56)*100</f>
        <v>0</v>
      </c>
      <c r="AU56" s="34">
        <v>0</v>
      </c>
      <c r="AV56" s="34">
        <f>K56</f>
        <v>0.01029</v>
      </c>
    </row>
    <row r="57" spans="2:12" ht="38.25" customHeight="1">
      <c r="B57" s="14" t="s">
        <v>42</v>
      </c>
      <c r="C57" s="97" t="s">
        <v>142</v>
      </c>
      <c r="D57" s="98"/>
      <c r="E57" s="98"/>
      <c r="F57" s="98"/>
      <c r="G57" s="98"/>
      <c r="H57" s="98"/>
      <c r="I57" s="98"/>
      <c r="J57" s="98"/>
      <c r="K57" s="98"/>
      <c r="L57" s="98"/>
    </row>
    <row r="58" spans="1:37" ht="12.75">
      <c r="A58" s="5"/>
      <c r="B58" s="13" t="s">
        <v>73</v>
      </c>
      <c r="C58" s="95" t="s">
        <v>143</v>
      </c>
      <c r="D58" s="96"/>
      <c r="E58" s="96"/>
      <c r="F58" s="96"/>
      <c r="G58" s="37">
        <f>SUM(G59:G59)</f>
        <v>0</v>
      </c>
      <c r="H58" s="37">
        <f>SUM(H59:H59)</f>
        <v>0</v>
      </c>
      <c r="I58" s="37">
        <f>G58+H58</f>
        <v>0</v>
      </c>
      <c r="J58" s="26"/>
      <c r="K58" s="37">
        <f>SUM(K59:K59)</f>
        <v>0</v>
      </c>
      <c r="L58" s="26"/>
      <c r="Y58" s="26"/>
      <c r="AI58" s="37">
        <f>SUM(Z59:Z59)</f>
        <v>0</v>
      </c>
      <c r="AJ58" s="37">
        <f>SUM(AA59:AA59)</f>
        <v>0</v>
      </c>
      <c r="AK58" s="37">
        <f>SUM(AB59:AB59)</f>
        <v>0</v>
      </c>
    </row>
    <row r="59" spans="1:48" ht="12.75">
      <c r="A59" s="4" t="s">
        <v>29</v>
      </c>
      <c r="B59" s="4" t="s">
        <v>74</v>
      </c>
      <c r="C59" s="4" t="s">
        <v>144</v>
      </c>
      <c r="D59" s="4" t="s">
        <v>177</v>
      </c>
      <c r="E59" s="17">
        <v>60</v>
      </c>
      <c r="F59" s="17">
        <v>0</v>
      </c>
      <c r="G59" s="17">
        <f>E59*AE59</f>
        <v>0</v>
      </c>
      <c r="H59" s="17">
        <f>I59-G59</f>
        <v>0</v>
      </c>
      <c r="I59" s="17">
        <f>E59*F59</f>
        <v>0</v>
      </c>
      <c r="J59" s="17">
        <v>0</v>
      </c>
      <c r="K59" s="17">
        <f>E59*J59</f>
        <v>0</v>
      </c>
      <c r="L59" s="29"/>
      <c r="P59" s="34">
        <f>IF(AG59="5",I59,0)</f>
        <v>0</v>
      </c>
      <c r="R59" s="34">
        <f>IF(AG59="1",G59,0)</f>
        <v>0</v>
      </c>
      <c r="S59" s="34">
        <f>IF(AG59="1",H59,0)</f>
        <v>0</v>
      </c>
      <c r="T59" s="34">
        <f>IF(AG59="7",G59,0)</f>
        <v>0</v>
      </c>
      <c r="U59" s="34">
        <f>IF(AG59="7",H59,0)</f>
        <v>0</v>
      </c>
      <c r="V59" s="34">
        <f>IF(AG59="2",G59,0)</f>
        <v>0</v>
      </c>
      <c r="W59" s="34">
        <f>IF(AG59="2",H59,0)</f>
        <v>0</v>
      </c>
      <c r="X59" s="34">
        <f>IF(AG59="0",I59,0)</f>
        <v>0</v>
      </c>
      <c r="Y59" s="26"/>
      <c r="Z59" s="17">
        <f>IF(AD59=0,I59,0)</f>
        <v>0</v>
      </c>
      <c r="AA59" s="17">
        <f>IF(AD59=15,I59,0)</f>
        <v>0</v>
      </c>
      <c r="AB59" s="17">
        <f>IF(AD59=21,I59,0)</f>
        <v>0</v>
      </c>
      <c r="AD59" s="34">
        <v>15</v>
      </c>
      <c r="AE59" s="34">
        <f>F59*0</f>
        <v>0</v>
      </c>
      <c r="AF59" s="34">
        <f>F59*(1-0)</f>
        <v>0</v>
      </c>
      <c r="AG59" s="29" t="s">
        <v>7</v>
      </c>
      <c r="AM59" s="34">
        <f>E59*AE59</f>
        <v>0</v>
      </c>
      <c r="AN59" s="34">
        <f>E59*AF59</f>
        <v>0</v>
      </c>
      <c r="AO59" s="35" t="s">
        <v>216</v>
      </c>
      <c r="AP59" s="35" t="s">
        <v>231</v>
      </c>
      <c r="AQ59" s="26" t="s">
        <v>234</v>
      </c>
      <c r="AS59" s="34">
        <f>AM59+AN59</f>
        <v>0</v>
      </c>
      <c r="AT59" s="34">
        <f>F59/(100-AU59)*100</f>
        <v>0</v>
      </c>
      <c r="AU59" s="34">
        <v>0</v>
      </c>
      <c r="AV59" s="34">
        <f>K59</f>
        <v>0</v>
      </c>
    </row>
    <row r="60" spans="1:37" ht="12.75">
      <c r="A60" s="5"/>
      <c r="B60" s="13" t="s">
        <v>75</v>
      </c>
      <c r="C60" s="95" t="s">
        <v>145</v>
      </c>
      <c r="D60" s="96"/>
      <c r="E60" s="96"/>
      <c r="F60" s="96"/>
      <c r="G60" s="37">
        <f>SUM(G61:G61)</f>
        <v>0</v>
      </c>
      <c r="H60" s="37">
        <f>SUM(H61:H61)</f>
        <v>0</v>
      </c>
      <c r="I60" s="37">
        <f>G60+H60</f>
        <v>0</v>
      </c>
      <c r="J60" s="26"/>
      <c r="K60" s="37">
        <f>SUM(K61:K61)</f>
        <v>0</v>
      </c>
      <c r="L60" s="26"/>
      <c r="Y60" s="26"/>
      <c r="AI60" s="37">
        <f>SUM(Z61:Z61)</f>
        <v>0</v>
      </c>
      <c r="AJ60" s="37">
        <f>SUM(AA61:AA61)</f>
        <v>0</v>
      </c>
      <c r="AK60" s="37">
        <f>SUM(AB61:AB61)</f>
        <v>0</v>
      </c>
    </row>
    <row r="61" spans="1:48" ht="12.75">
      <c r="A61" s="4" t="s">
        <v>30</v>
      </c>
      <c r="B61" s="4" t="s">
        <v>76</v>
      </c>
      <c r="C61" s="4" t="s">
        <v>146</v>
      </c>
      <c r="D61" s="4" t="s">
        <v>179</v>
      </c>
      <c r="E61" s="17">
        <v>50</v>
      </c>
      <c r="F61" s="17">
        <v>0</v>
      </c>
      <c r="G61" s="17">
        <f>E61*AE61</f>
        <v>0</v>
      </c>
      <c r="H61" s="17">
        <f>I61-G61</f>
        <v>0</v>
      </c>
      <c r="I61" s="17">
        <f>E61*F61</f>
        <v>0</v>
      </c>
      <c r="J61" s="17">
        <v>0</v>
      </c>
      <c r="K61" s="17">
        <f>E61*J61</f>
        <v>0</v>
      </c>
      <c r="L61" s="29"/>
      <c r="P61" s="34">
        <f>IF(AG61="5",I61,0)</f>
        <v>0</v>
      </c>
      <c r="R61" s="34">
        <f>IF(AG61="1",G61,0)</f>
        <v>0</v>
      </c>
      <c r="S61" s="34">
        <f>IF(AG61="1",H61,0)</f>
        <v>0</v>
      </c>
      <c r="T61" s="34">
        <f>IF(AG61="7",G61,0)</f>
        <v>0</v>
      </c>
      <c r="U61" s="34">
        <f>IF(AG61="7",H61,0)</f>
        <v>0</v>
      </c>
      <c r="V61" s="34">
        <f>IF(AG61="2",G61,0)</f>
        <v>0</v>
      </c>
      <c r="W61" s="34">
        <f>IF(AG61="2",H61,0)</f>
        <v>0</v>
      </c>
      <c r="X61" s="34">
        <f>IF(AG61="0",I61,0)</f>
        <v>0</v>
      </c>
      <c r="Y61" s="26"/>
      <c r="Z61" s="17">
        <f>IF(AD61=0,I61,0)</f>
        <v>0</v>
      </c>
      <c r="AA61" s="17">
        <f>IF(AD61=15,I61,0)</f>
        <v>0</v>
      </c>
      <c r="AB61" s="17">
        <f>IF(AD61=21,I61,0)</f>
        <v>0</v>
      </c>
      <c r="AD61" s="34">
        <v>15</v>
      </c>
      <c r="AE61" s="34">
        <f>F61*0</f>
        <v>0</v>
      </c>
      <c r="AF61" s="34">
        <f>F61*(1-0)</f>
        <v>0</v>
      </c>
      <c r="AG61" s="29" t="s">
        <v>7</v>
      </c>
      <c r="AM61" s="34">
        <f>E61*AE61</f>
        <v>0</v>
      </c>
      <c r="AN61" s="34">
        <f>E61*AF61</f>
        <v>0</v>
      </c>
      <c r="AO61" s="35" t="s">
        <v>217</v>
      </c>
      <c r="AP61" s="35" t="s">
        <v>232</v>
      </c>
      <c r="AQ61" s="26" t="s">
        <v>234</v>
      </c>
      <c r="AS61" s="34">
        <f>AM61+AN61</f>
        <v>0</v>
      </c>
      <c r="AT61" s="34">
        <f>F61/(100-AU61)*100</f>
        <v>0</v>
      </c>
      <c r="AU61" s="34">
        <v>0</v>
      </c>
      <c r="AV61" s="34">
        <f>K61</f>
        <v>0</v>
      </c>
    </row>
    <row r="62" spans="2:12" ht="12.75">
      <c r="B62" s="14" t="s">
        <v>42</v>
      </c>
      <c r="C62" s="97" t="s">
        <v>147</v>
      </c>
      <c r="D62" s="98"/>
      <c r="E62" s="98"/>
      <c r="F62" s="98"/>
      <c r="G62" s="98"/>
      <c r="H62" s="98"/>
      <c r="I62" s="98"/>
      <c r="J62" s="98"/>
      <c r="K62" s="98"/>
      <c r="L62" s="98"/>
    </row>
    <row r="63" spans="1:37" ht="12.75">
      <c r="A63" s="5"/>
      <c r="B63" s="13" t="s">
        <v>77</v>
      </c>
      <c r="C63" s="95" t="s">
        <v>148</v>
      </c>
      <c r="D63" s="96"/>
      <c r="E63" s="96"/>
      <c r="F63" s="96"/>
      <c r="G63" s="37">
        <f>SUM(G64:G67)</f>
        <v>0</v>
      </c>
      <c r="H63" s="37">
        <f>SUM(H64:H67)</f>
        <v>0</v>
      </c>
      <c r="I63" s="37">
        <f>G63+H63</f>
        <v>0</v>
      </c>
      <c r="J63" s="26"/>
      <c r="K63" s="37">
        <f>SUM(K64:K67)</f>
        <v>12.349200000000002</v>
      </c>
      <c r="L63" s="26"/>
      <c r="Y63" s="26"/>
      <c r="AI63" s="37">
        <f>SUM(Z64:Z67)</f>
        <v>0</v>
      </c>
      <c r="AJ63" s="37">
        <f>SUM(AA64:AA67)</f>
        <v>0</v>
      </c>
      <c r="AK63" s="37">
        <f>SUM(AB64:AB67)</f>
        <v>0</v>
      </c>
    </row>
    <row r="64" spans="1:48" ht="12.75">
      <c r="A64" s="4" t="s">
        <v>31</v>
      </c>
      <c r="B64" s="4" t="s">
        <v>78</v>
      </c>
      <c r="C64" s="4" t="s">
        <v>149</v>
      </c>
      <c r="D64" s="4" t="s">
        <v>174</v>
      </c>
      <c r="E64" s="17">
        <v>615</v>
      </c>
      <c r="F64" s="17">
        <v>0</v>
      </c>
      <c r="G64" s="17">
        <f>E64*AE64</f>
        <v>0</v>
      </c>
      <c r="H64" s="17">
        <f>I64-G64</f>
        <v>0</v>
      </c>
      <c r="I64" s="17">
        <f>E64*F64</f>
        <v>0</v>
      </c>
      <c r="J64" s="17">
        <v>0.01838</v>
      </c>
      <c r="K64" s="17">
        <f>E64*J64</f>
        <v>11.303700000000001</v>
      </c>
      <c r="L64" s="29"/>
      <c r="P64" s="34">
        <f>IF(AG64="5",I64,0)</f>
        <v>0</v>
      </c>
      <c r="R64" s="34">
        <f>IF(AG64="1",G64,0)</f>
        <v>0</v>
      </c>
      <c r="S64" s="34">
        <f>IF(AG64="1",H64,0)</f>
        <v>0</v>
      </c>
      <c r="T64" s="34">
        <f>IF(AG64="7",G64,0)</f>
        <v>0</v>
      </c>
      <c r="U64" s="34">
        <f>IF(AG64="7",H64,0)</f>
        <v>0</v>
      </c>
      <c r="V64" s="34">
        <f>IF(AG64="2",G64,0)</f>
        <v>0</v>
      </c>
      <c r="W64" s="34">
        <f>IF(AG64="2",H64,0)</f>
        <v>0</v>
      </c>
      <c r="X64" s="34">
        <f>IF(AG64="0",I64,0)</f>
        <v>0</v>
      </c>
      <c r="Y64" s="26"/>
      <c r="Z64" s="17">
        <f>IF(AD64=0,I64,0)</f>
        <v>0</v>
      </c>
      <c r="AA64" s="17">
        <f>IF(AD64=15,I64,0)</f>
        <v>0</v>
      </c>
      <c r="AB64" s="17">
        <f>IF(AD64=21,I64,0)</f>
        <v>0</v>
      </c>
      <c r="AD64" s="34">
        <v>15</v>
      </c>
      <c r="AE64" s="34">
        <f>F64*0.000476303881876637</f>
        <v>0</v>
      </c>
      <c r="AF64" s="34">
        <f>F64*(1-0.000476303881876637)</f>
        <v>0</v>
      </c>
      <c r="AG64" s="29" t="s">
        <v>7</v>
      </c>
      <c r="AM64" s="34">
        <f>E64*AE64</f>
        <v>0</v>
      </c>
      <c r="AN64" s="34">
        <f>E64*AF64</f>
        <v>0</v>
      </c>
      <c r="AO64" s="35" t="s">
        <v>218</v>
      </c>
      <c r="AP64" s="35" t="s">
        <v>232</v>
      </c>
      <c r="AQ64" s="26" t="s">
        <v>234</v>
      </c>
      <c r="AS64" s="34">
        <f>AM64+AN64</f>
        <v>0</v>
      </c>
      <c r="AT64" s="34">
        <f>F64/(100-AU64)*100</f>
        <v>0</v>
      </c>
      <c r="AU64" s="34">
        <v>0</v>
      </c>
      <c r="AV64" s="34">
        <f>K64</f>
        <v>11.303700000000001</v>
      </c>
    </row>
    <row r="65" spans="1:48" ht="12.75">
      <c r="A65" s="4" t="s">
        <v>32</v>
      </c>
      <c r="B65" s="4" t="s">
        <v>79</v>
      </c>
      <c r="C65" s="4" t="s">
        <v>150</v>
      </c>
      <c r="D65" s="4" t="s">
        <v>174</v>
      </c>
      <c r="E65" s="17">
        <v>1230</v>
      </c>
      <c r="F65" s="17">
        <v>0</v>
      </c>
      <c r="G65" s="17">
        <f>E65*AE65</f>
        <v>0</v>
      </c>
      <c r="H65" s="17">
        <f>I65-G65</f>
        <v>0</v>
      </c>
      <c r="I65" s="17">
        <f>E65*F65</f>
        <v>0</v>
      </c>
      <c r="J65" s="17">
        <v>0.00085</v>
      </c>
      <c r="K65" s="17">
        <f>E65*J65</f>
        <v>1.0454999999999999</v>
      </c>
      <c r="L65" s="29"/>
      <c r="P65" s="34">
        <f>IF(AG65="5",I65,0)</f>
        <v>0</v>
      </c>
      <c r="R65" s="34">
        <f>IF(AG65="1",G65,0)</f>
        <v>0</v>
      </c>
      <c r="S65" s="34">
        <f>IF(AG65="1",H65,0)</f>
        <v>0</v>
      </c>
      <c r="T65" s="34">
        <f>IF(AG65="7",G65,0)</f>
        <v>0</v>
      </c>
      <c r="U65" s="34">
        <f>IF(AG65="7",H65,0)</f>
        <v>0</v>
      </c>
      <c r="V65" s="34">
        <f>IF(AG65="2",G65,0)</f>
        <v>0</v>
      </c>
      <c r="W65" s="34">
        <f>IF(AG65="2",H65,0)</f>
        <v>0</v>
      </c>
      <c r="X65" s="34">
        <f>IF(AG65="0",I65,0)</f>
        <v>0</v>
      </c>
      <c r="Y65" s="26"/>
      <c r="Z65" s="17">
        <f>IF(AD65=0,I65,0)</f>
        <v>0</v>
      </c>
      <c r="AA65" s="17">
        <f>IF(AD65=15,I65,0)</f>
        <v>0</v>
      </c>
      <c r="AB65" s="17">
        <f>IF(AD65=21,I65,0)</f>
        <v>0</v>
      </c>
      <c r="AD65" s="34">
        <v>15</v>
      </c>
      <c r="AE65" s="34">
        <f>F65*0.950798722044728</f>
        <v>0</v>
      </c>
      <c r="AF65" s="34">
        <f>F65*(1-0.950798722044728)</f>
        <v>0</v>
      </c>
      <c r="AG65" s="29" t="s">
        <v>7</v>
      </c>
      <c r="AM65" s="34">
        <f>E65*AE65</f>
        <v>0</v>
      </c>
      <c r="AN65" s="34">
        <f>E65*AF65</f>
        <v>0</v>
      </c>
      <c r="AO65" s="35" t="s">
        <v>218</v>
      </c>
      <c r="AP65" s="35" t="s">
        <v>232</v>
      </c>
      <c r="AQ65" s="26" t="s">
        <v>234</v>
      </c>
      <c r="AS65" s="34">
        <f>AM65+AN65</f>
        <v>0</v>
      </c>
      <c r="AT65" s="34">
        <f>F65/(100-AU65)*100</f>
        <v>0</v>
      </c>
      <c r="AU65" s="34">
        <v>0</v>
      </c>
      <c r="AV65" s="34">
        <f>K65</f>
        <v>1.0454999999999999</v>
      </c>
    </row>
    <row r="66" spans="2:12" ht="25.5" customHeight="1">
      <c r="B66" s="14" t="s">
        <v>42</v>
      </c>
      <c r="C66" s="97"/>
      <c r="D66" s="98"/>
      <c r="E66" s="98"/>
      <c r="F66" s="98"/>
      <c r="G66" s="98"/>
      <c r="H66" s="98"/>
      <c r="I66" s="98"/>
      <c r="J66" s="98"/>
      <c r="K66" s="98"/>
      <c r="L66" s="98"/>
    </row>
    <row r="67" spans="1:48" ht="12.75">
      <c r="A67" s="4" t="s">
        <v>33</v>
      </c>
      <c r="B67" s="4" t="s">
        <v>80</v>
      </c>
      <c r="C67" s="4" t="s">
        <v>152</v>
      </c>
      <c r="D67" s="4" t="s">
        <v>174</v>
      </c>
      <c r="E67" s="17">
        <v>615</v>
      </c>
      <c r="F67" s="17">
        <v>0</v>
      </c>
      <c r="G67" s="17">
        <f>E67*AE67</f>
        <v>0</v>
      </c>
      <c r="H67" s="17">
        <f>I67-G67</f>
        <v>0</v>
      </c>
      <c r="I67" s="17">
        <f>E67*F67</f>
        <v>0</v>
      </c>
      <c r="J67" s="17">
        <v>0</v>
      </c>
      <c r="K67" s="17">
        <f>E67*J67</f>
        <v>0</v>
      </c>
      <c r="L67" s="29"/>
      <c r="P67" s="34">
        <f>IF(AG67="5",I67,0)</f>
        <v>0</v>
      </c>
      <c r="R67" s="34">
        <f>IF(AG67="1",G67,0)</f>
        <v>0</v>
      </c>
      <c r="S67" s="34">
        <f>IF(AG67="1",H67,0)</f>
        <v>0</v>
      </c>
      <c r="T67" s="34">
        <f>IF(AG67="7",G67,0)</f>
        <v>0</v>
      </c>
      <c r="U67" s="34">
        <f>IF(AG67="7",H67,0)</f>
        <v>0</v>
      </c>
      <c r="V67" s="34">
        <f>IF(AG67="2",G67,0)</f>
        <v>0</v>
      </c>
      <c r="W67" s="34">
        <f>IF(AG67="2",H67,0)</f>
        <v>0</v>
      </c>
      <c r="X67" s="34">
        <f>IF(AG67="0",I67,0)</f>
        <v>0</v>
      </c>
      <c r="Y67" s="26"/>
      <c r="Z67" s="17">
        <f>IF(AD67=0,I67,0)</f>
        <v>0</v>
      </c>
      <c r="AA67" s="17">
        <f>IF(AD67=15,I67,0)</f>
        <v>0</v>
      </c>
      <c r="AB67" s="17">
        <f>IF(AD67=21,I67,0)</f>
        <v>0</v>
      </c>
      <c r="AD67" s="34">
        <v>15</v>
      </c>
      <c r="AE67" s="34">
        <f>F67*0</f>
        <v>0</v>
      </c>
      <c r="AF67" s="34">
        <f>F67*(1-0)</f>
        <v>0</v>
      </c>
      <c r="AG67" s="29" t="s">
        <v>7</v>
      </c>
      <c r="AM67" s="34">
        <f>E67*AE67</f>
        <v>0</v>
      </c>
      <c r="AN67" s="34">
        <f>E67*AF67</f>
        <v>0</v>
      </c>
      <c r="AO67" s="35" t="s">
        <v>218</v>
      </c>
      <c r="AP67" s="35" t="s">
        <v>232</v>
      </c>
      <c r="AQ67" s="26" t="s">
        <v>234</v>
      </c>
      <c r="AS67" s="34">
        <f>AM67+AN67</f>
        <v>0</v>
      </c>
      <c r="AT67" s="34">
        <f>F67/(100-AU67)*100</f>
        <v>0</v>
      </c>
      <c r="AU67" s="34">
        <v>0</v>
      </c>
      <c r="AV67" s="34">
        <f>K67</f>
        <v>0</v>
      </c>
    </row>
    <row r="68" spans="1:37" ht="12.75">
      <c r="A68" s="5"/>
      <c r="B68" s="13" t="s">
        <v>81</v>
      </c>
      <c r="C68" s="95" t="s">
        <v>153</v>
      </c>
      <c r="D68" s="96"/>
      <c r="E68" s="96"/>
      <c r="F68" s="96"/>
      <c r="G68" s="37">
        <f>SUM(G69:G69)</f>
        <v>0</v>
      </c>
      <c r="H68" s="37">
        <f>SUM(H69:H69)</f>
        <v>0</v>
      </c>
      <c r="I68" s="37">
        <f>G68+H68</f>
        <v>0</v>
      </c>
      <c r="J68" s="26"/>
      <c r="K68" s="37">
        <f>SUM(K69:K69)</f>
        <v>0.4299483</v>
      </c>
      <c r="L68" s="26"/>
      <c r="Y68" s="26"/>
      <c r="AI68" s="37">
        <f>SUM(Z69:Z69)</f>
        <v>0</v>
      </c>
      <c r="AJ68" s="37">
        <f>SUM(AA69:AA69)</f>
        <v>0</v>
      </c>
      <c r="AK68" s="37">
        <f>SUM(AB69:AB69)</f>
        <v>0</v>
      </c>
    </row>
    <row r="69" spans="1:48" ht="12.75">
      <c r="A69" s="4" t="s">
        <v>34</v>
      </c>
      <c r="B69" s="4" t="s">
        <v>82</v>
      </c>
      <c r="C69" s="4" t="s">
        <v>154</v>
      </c>
      <c r="D69" s="4" t="s">
        <v>174</v>
      </c>
      <c r="E69" s="17">
        <v>5.57</v>
      </c>
      <c r="F69" s="17">
        <v>0</v>
      </c>
      <c r="G69" s="17">
        <f>E69*AE69</f>
        <v>0</v>
      </c>
      <c r="H69" s="17">
        <f>I69-G69</f>
        <v>0</v>
      </c>
      <c r="I69" s="17">
        <f>E69*F69</f>
        <v>0</v>
      </c>
      <c r="J69" s="17">
        <v>0.07719</v>
      </c>
      <c r="K69" s="17">
        <f>E69*J69</f>
        <v>0.4299483</v>
      </c>
      <c r="L69" s="29"/>
      <c r="P69" s="34">
        <f>IF(AG69="5",I69,0)</f>
        <v>0</v>
      </c>
      <c r="R69" s="34">
        <f>IF(AG69="1",G69,0)</f>
        <v>0</v>
      </c>
      <c r="S69" s="34">
        <f>IF(AG69="1",H69,0)</f>
        <v>0</v>
      </c>
      <c r="T69" s="34">
        <f>IF(AG69="7",G69,0)</f>
        <v>0</v>
      </c>
      <c r="U69" s="34">
        <f>IF(AG69="7",H69,0)</f>
        <v>0</v>
      </c>
      <c r="V69" s="34">
        <f>IF(AG69="2",G69,0)</f>
        <v>0</v>
      </c>
      <c r="W69" s="34">
        <f>IF(AG69="2",H69,0)</f>
        <v>0</v>
      </c>
      <c r="X69" s="34">
        <f>IF(AG69="0",I69,0)</f>
        <v>0</v>
      </c>
      <c r="Y69" s="26"/>
      <c r="Z69" s="17">
        <f>IF(AD69=0,I69,0)</f>
        <v>0</v>
      </c>
      <c r="AA69" s="17">
        <f>IF(AD69=15,I69,0)</f>
        <v>0</v>
      </c>
      <c r="AB69" s="17">
        <f>IF(AD69=21,I69,0)</f>
        <v>0</v>
      </c>
      <c r="AD69" s="34">
        <v>15</v>
      </c>
      <c r="AE69" s="34">
        <f>F69*0.183809289059474</f>
        <v>0</v>
      </c>
      <c r="AF69" s="34">
        <f>F69*(1-0.183809289059474)</f>
        <v>0</v>
      </c>
      <c r="AG69" s="29" t="s">
        <v>7</v>
      </c>
      <c r="AM69" s="34">
        <f>E69*AE69</f>
        <v>0</v>
      </c>
      <c r="AN69" s="34">
        <f>E69*AF69</f>
        <v>0</v>
      </c>
      <c r="AO69" s="35" t="s">
        <v>219</v>
      </c>
      <c r="AP69" s="35" t="s">
        <v>232</v>
      </c>
      <c r="AQ69" s="26" t="s">
        <v>234</v>
      </c>
      <c r="AS69" s="34">
        <f>AM69+AN69</f>
        <v>0</v>
      </c>
      <c r="AT69" s="34">
        <f>F69/(100-AU69)*100</f>
        <v>0</v>
      </c>
      <c r="AU69" s="34">
        <v>0</v>
      </c>
      <c r="AV69" s="34">
        <f>K69</f>
        <v>0.4299483</v>
      </c>
    </row>
    <row r="70" spans="1:37" ht="12.75">
      <c r="A70" s="5"/>
      <c r="B70" s="13" t="s">
        <v>83</v>
      </c>
      <c r="C70" s="95" t="s">
        <v>155</v>
      </c>
      <c r="D70" s="96"/>
      <c r="E70" s="96"/>
      <c r="F70" s="96"/>
      <c r="G70" s="37">
        <f>SUM(G71:G75)</f>
        <v>0</v>
      </c>
      <c r="H70" s="37">
        <f>SUM(H71:H75)</f>
        <v>0</v>
      </c>
      <c r="I70" s="37">
        <f>G70+H70</f>
        <v>0</v>
      </c>
      <c r="J70" s="26"/>
      <c r="K70" s="37">
        <f>SUM(K71:K75)</f>
        <v>46.004999999999995</v>
      </c>
      <c r="L70" s="26"/>
      <c r="Y70" s="26"/>
      <c r="AI70" s="37">
        <f>SUM(Z71:Z75)</f>
        <v>0</v>
      </c>
      <c r="AJ70" s="37">
        <f>SUM(AA71:AA75)</f>
        <v>0</v>
      </c>
      <c r="AK70" s="37">
        <f>SUM(AB71:AB75)</f>
        <v>0</v>
      </c>
    </row>
    <row r="71" spans="1:48" ht="12.75">
      <c r="A71" s="4" t="s">
        <v>35</v>
      </c>
      <c r="B71" s="4" t="s">
        <v>84</v>
      </c>
      <c r="C71" s="4" t="s">
        <v>156</v>
      </c>
      <c r="D71" s="4" t="s">
        <v>174</v>
      </c>
      <c r="E71" s="17">
        <v>630</v>
      </c>
      <c r="F71" s="17">
        <v>0</v>
      </c>
      <c r="G71" s="17">
        <f>E71*AE71</f>
        <v>0</v>
      </c>
      <c r="H71" s="17">
        <f>I71-G71</f>
        <v>0</v>
      </c>
      <c r="I71" s="17">
        <f>E71*F71</f>
        <v>0</v>
      </c>
      <c r="J71" s="17">
        <v>0.059</v>
      </c>
      <c r="K71" s="17">
        <f>E71*J71</f>
        <v>37.169999999999995</v>
      </c>
      <c r="L71" s="29"/>
      <c r="P71" s="34">
        <f>IF(AG71="5",I71,0)</f>
        <v>0</v>
      </c>
      <c r="R71" s="34">
        <f>IF(AG71="1",G71,0)</f>
        <v>0</v>
      </c>
      <c r="S71" s="34">
        <f>IF(AG71="1",H71,0)</f>
        <v>0</v>
      </c>
      <c r="T71" s="34">
        <f>IF(AG71="7",G71,0)</f>
        <v>0</v>
      </c>
      <c r="U71" s="34">
        <f>IF(AG71="7",H71,0)</f>
        <v>0</v>
      </c>
      <c r="V71" s="34">
        <f>IF(AG71="2",G71,0)</f>
        <v>0</v>
      </c>
      <c r="W71" s="34">
        <f>IF(AG71="2",H71,0)</f>
        <v>0</v>
      </c>
      <c r="X71" s="34">
        <f>IF(AG71="0",I71,0)</f>
        <v>0</v>
      </c>
      <c r="Y71" s="26"/>
      <c r="Z71" s="17">
        <f>IF(AD71=0,I71,0)</f>
        <v>0</v>
      </c>
      <c r="AA71" s="17">
        <f>IF(AD71=15,I71,0)</f>
        <v>0</v>
      </c>
      <c r="AB71" s="17">
        <f>IF(AD71=21,I71,0)</f>
        <v>0</v>
      </c>
      <c r="AD71" s="34">
        <v>15</v>
      </c>
      <c r="AE71" s="34">
        <f>F71*0</f>
        <v>0</v>
      </c>
      <c r="AF71" s="34">
        <f>F71*(1-0)</f>
        <v>0</v>
      </c>
      <c r="AG71" s="29" t="s">
        <v>7</v>
      </c>
      <c r="AM71" s="34">
        <f>E71*AE71</f>
        <v>0</v>
      </c>
      <c r="AN71" s="34">
        <f>E71*AF71</f>
        <v>0</v>
      </c>
      <c r="AO71" s="35" t="s">
        <v>220</v>
      </c>
      <c r="AP71" s="35" t="s">
        <v>232</v>
      </c>
      <c r="AQ71" s="26" t="s">
        <v>234</v>
      </c>
      <c r="AS71" s="34">
        <f>AM71+AN71</f>
        <v>0</v>
      </c>
      <c r="AT71" s="34">
        <f>F71/(100-AU71)*100</f>
        <v>0</v>
      </c>
      <c r="AU71" s="34">
        <v>0</v>
      </c>
      <c r="AV71" s="34">
        <f>K71</f>
        <v>37.169999999999995</v>
      </c>
    </row>
    <row r="72" spans="2:12" ht="12.75">
      <c r="B72" s="14" t="s">
        <v>42</v>
      </c>
      <c r="C72" s="97" t="s">
        <v>157</v>
      </c>
      <c r="D72" s="98"/>
      <c r="E72" s="98"/>
      <c r="F72" s="98"/>
      <c r="G72" s="98"/>
      <c r="H72" s="98"/>
      <c r="I72" s="98"/>
      <c r="J72" s="98"/>
      <c r="K72" s="98"/>
      <c r="L72" s="98"/>
    </row>
    <row r="73" spans="1:48" ht="12.75">
      <c r="A73" s="4" t="s">
        <v>36</v>
      </c>
      <c r="B73" s="4" t="s">
        <v>85</v>
      </c>
      <c r="C73" s="4" t="s">
        <v>158</v>
      </c>
      <c r="D73" s="4" t="s">
        <v>174</v>
      </c>
      <c r="E73" s="17">
        <v>630</v>
      </c>
      <c r="F73" s="17">
        <v>0</v>
      </c>
      <c r="G73" s="17">
        <f>E73*AE73</f>
        <v>0</v>
      </c>
      <c r="H73" s="17">
        <f>I73-G73</f>
        <v>0</v>
      </c>
      <c r="I73" s="17">
        <f>E73*F73</f>
        <v>0</v>
      </c>
      <c r="J73" s="17">
        <v>0.014</v>
      </c>
      <c r="K73" s="17">
        <f>E73*J73</f>
        <v>8.82</v>
      </c>
      <c r="L73" s="29"/>
      <c r="P73" s="34">
        <f>IF(AG73="5",I73,0)</f>
        <v>0</v>
      </c>
      <c r="R73" s="34">
        <f>IF(AG73="1",G73,0)</f>
        <v>0</v>
      </c>
      <c r="S73" s="34">
        <f>IF(AG73="1",H73,0)</f>
        <v>0</v>
      </c>
      <c r="T73" s="34">
        <f>IF(AG73="7",G73,0)</f>
        <v>0</v>
      </c>
      <c r="U73" s="34">
        <f>IF(AG73="7",H73,0)</f>
        <v>0</v>
      </c>
      <c r="V73" s="34">
        <f>IF(AG73="2",G73,0)</f>
        <v>0</v>
      </c>
      <c r="W73" s="34">
        <f>IF(AG73="2",H73,0)</f>
        <v>0</v>
      </c>
      <c r="X73" s="34">
        <f>IF(AG73="0",I73,0)</f>
        <v>0</v>
      </c>
      <c r="Y73" s="26"/>
      <c r="Z73" s="17">
        <f>IF(AD73=0,I73,0)</f>
        <v>0</v>
      </c>
      <c r="AA73" s="17">
        <f>IF(AD73=15,I73,0)</f>
        <v>0</v>
      </c>
      <c r="AB73" s="17">
        <f>IF(AD73=21,I73,0)</f>
        <v>0</v>
      </c>
      <c r="AD73" s="34">
        <v>15</v>
      </c>
      <c r="AE73" s="34">
        <f>F73*0</f>
        <v>0</v>
      </c>
      <c r="AF73" s="34">
        <f>F73*(1-0)</f>
        <v>0</v>
      </c>
      <c r="AG73" s="29" t="s">
        <v>7</v>
      </c>
      <c r="AM73" s="34">
        <f>E73*AE73</f>
        <v>0</v>
      </c>
      <c r="AN73" s="34">
        <f>E73*AF73</f>
        <v>0</v>
      </c>
      <c r="AO73" s="35" t="s">
        <v>220</v>
      </c>
      <c r="AP73" s="35" t="s">
        <v>232</v>
      </c>
      <c r="AQ73" s="26" t="s">
        <v>234</v>
      </c>
      <c r="AS73" s="34">
        <f>AM73+AN73</f>
        <v>0</v>
      </c>
      <c r="AT73" s="34">
        <f>F73/(100-AU73)*100</f>
        <v>0</v>
      </c>
      <c r="AU73" s="34">
        <v>0</v>
      </c>
      <c r="AV73" s="34">
        <f>K73</f>
        <v>8.82</v>
      </c>
    </row>
    <row r="74" spans="2:12" ht="12.75">
      <c r="B74" s="14" t="s">
        <v>42</v>
      </c>
      <c r="C74" s="97" t="s">
        <v>159</v>
      </c>
      <c r="D74" s="98"/>
      <c r="E74" s="98"/>
      <c r="F74" s="98"/>
      <c r="G74" s="98"/>
      <c r="H74" s="98"/>
      <c r="I74" s="98"/>
      <c r="J74" s="98"/>
      <c r="K74" s="98"/>
      <c r="L74" s="98"/>
    </row>
    <row r="75" spans="1:48" ht="12.75">
      <c r="A75" s="4" t="s">
        <v>37</v>
      </c>
      <c r="B75" s="4" t="s">
        <v>86</v>
      </c>
      <c r="C75" s="4" t="s">
        <v>160</v>
      </c>
      <c r="D75" s="4" t="s">
        <v>178</v>
      </c>
      <c r="E75" s="17">
        <v>15</v>
      </c>
      <c r="F75" s="17">
        <v>0</v>
      </c>
      <c r="G75" s="17">
        <f>E75*AE75</f>
        <v>0</v>
      </c>
      <c r="H75" s="17">
        <f>I75-G75</f>
        <v>0</v>
      </c>
      <c r="I75" s="17">
        <f>E75*F75</f>
        <v>0</v>
      </c>
      <c r="J75" s="17">
        <v>0.001</v>
      </c>
      <c r="K75" s="17">
        <f>E75*J75</f>
        <v>0.015</v>
      </c>
      <c r="L75" s="29"/>
      <c r="P75" s="34">
        <f>IF(AG75="5",I75,0)</f>
        <v>0</v>
      </c>
      <c r="R75" s="34">
        <f>IF(AG75="1",G75,0)</f>
        <v>0</v>
      </c>
      <c r="S75" s="34">
        <f>IF(AG75="1",H75,0)</f>
        <v>0</v>
      </c>
      <c r="T75" s="34">
        <f>IF(AG75="7",G75,0)</f>
        <v>0</v>
      </c>
      <c r="U75" s="34">
        <f>IF(AG75="7",H75,0)</f>
        <v>0</v>
      </c>
      <c r="V75" s="34">
        <f>IF(AG75="2",G75,0)</f>
        <v>0</v>
      </c>
      <c r="W75" s="34">
        <f>IF(AG75="2",H75,0)</f>
        <v>0</v>
      </c>
      <c r="X75" s="34">
        <f>IF(AG75="0",I75,0)</f>
        <v>0</v>
      </c>
      <c r="Y75" s="26"/>
      <c r="Z75" s="17">
        <f>IF(AD75=0,I75,0)</f>
        <v>0</v>
      </c>
      <c r="AA75" s="17">
        <f>IF(AD75=15,I75,0)</f>
        <v>0</v>
      </c>
      <c r="AB75" s="17">
        <f>IF(AD75=21,I75,0)</f>
        <v>0</v>
      </c>
      <c r="AD75" s="34">
        <v>15</v>
      </c>
      <c r="AE75" s="34">
        <f>F75*0</f>
        <v>0</v>
      </c>
      <c r="AF75" s="34">
        <f>F75*(1-0)</f>
        <v>0</v>
      </c>
      <c r="AG75" s="29" t="s">
        <v>7</v>
      </c>
      <c r="AM75" s="34">
        <f>E75*AE75</f>
        <v>0</v>
      </c>
      <c r="AN75" s="34">
        <f>E75*AF75</f>
        <v>0</v>
      </c>
      <c r="AO75" s="35" t="s">
        <v>220</v>
      </c>
      <c r="AP75" s="35" t="s">
        <v>232</v>
      </c>
      <c r="AQ75" s="26" t="s">
        <v>234</v>
      </c>
      <c r="AS75" s="34">
        <f>AM75+AN75</f>
        <v>0</v>
      </c>
      <c r="AT75" s="34">
        <f>F75/(100-AU75)*100</f>
        <v>0</v>
      </c>
      <c r="AU75" s="34">
        <v>0</v>
      </c>
      <c r="AV75" s="34">
        <f>K75</f>
        <v>0.015</v>
      </c>
    </row>
    <row r="76" spans="1:37" ht="12.75">
      <c r="A76" s="5"/>
      <c r="B76" s="13" t="s">
        <v>87</v>
      </c>
      <c r="C76" s="95" t="s">
        <v>161</v>
      </c>
      <c r="D76" s="96"/>
      <c r="E76" s="96"/>
      <c r="F76" s="96"/>
      <c r="G76" s="37">
        <f>SUM(G77:G77)</f>
        <v>0</v>
      </c>
      <c r="H76" s="37">
        <f>SUM(H77:H77)</f>
        <v>0</v>
      </c>
      <c r="I76" s="37">
        <f>G76+H76</f>
        <v>0</v>
      </c>
      <c r="J76" s="26"/>
      <c r="K76" s="37">
        <f>SUM(K77:K77)</f>
        <v>0</v>
      </c>
      <c r="L76" s="26"/>
      <c r="Y76" s="26"/>
      <c r="AI76" s="37">
        <f>SUM(Z77:Z77)</f>
        <v>0</v>
      </c>
      <c r="AJ76" s="37">
        <f>SUM(AA77:AA77)</f>
        <v>0</v>
      </c>
      <c r="AK76" s="37">
        <f>SUM(AB77:AB77)</f>
        <v>0</v>
      </c>
    </row>
    <row r="77" spans="1:48" ht="12.75">
      <c r="A77" s="4" t="s">
        <v>38</v>
      </c>
      <c r="B77" s="4" t="s">
        <v>88</v>
      </c>
      <c r="C77" s="4" t="s">
        <v>162</v>
      </c>
      <c r="D77" s="4" t="s">
        <v>180</v>
      </c>
      <c r="E77" s="17">
        <v>71.5664</v>
      </c>
      <c r="F77" s="17">
        <v>0</v>
      </c>
      <c r="G77" s="17">
        <f>E77*AE77</f>
        <v>0</v>
      </c>
      <c r="H77" s="17">
        <f>I77-G77</f>
        <v>0</v>
      </c>
      <c r="I77" s="17">
        <f>E77*F77</f>
        <v>0</v>
      </c>
      <c r="J77" s="17">
        <v>0</v>
      </c>
      <c r="K77" s="17">
        <f>E77*J77</f>
        <v>0</v>
      </c>
      <c r="L77" s="29"/>
      <c r="P77" s="34">
        <f>IF(AG77="5",I77,0)</f>
        <v>0</v>
      </c>
      <c r="R77" s="34">
        <f>IF(AG77="1",G77,0)</f>
        <v>0</v>
      </c>
      <c r="S77" s="34">
        <f>IF(AG77="1",H77,0)</f>
        <v>0</v>
      </c>
      <c r="T77" s="34">
        <f>IF(AG77="7",G77,0)</f>
        <v>0</v>
      </c>
      <c r="U77" s="34">
        <f>IF(AG77="7",H77,0)</f>
        <v>0</v>
      </c>
      <c r="V77" s="34">
        <f>IF(AG77="2",G77,0)</f>
        <v>0</v>
      </c>
      <c r="W77" s="34">
        <f>IF(AG77="2",H77,0)</f>
        <v>0</v>
      </c>
      <c r="X77" s="34">
        <f>IF(AG77="0",I77,0)</f>
        <v>0</v>
      </c>
      <c r="Y77" s="26"/>
      <c r="Z77" s="17">
        <f>IF(AD77=0,I77,0)</f>
        <v>0</v>
      </c>
      <c r="AA77" s="17">
        <f>IF(AD77=15,I77,0)</f>
        <v>0</v>
      </c>
      <c r="AB77" s="17">
        <f>IF(AD77=21,I77,0)</f>
        <v>0</v>
      </c>
      <c r="AD77" s="34">
        <v>15</v>
      </c>
      <c r="AE77" s="34">
        <f>F77*0.00993220338983051</f>
        <v>0</v>
      </c>
      <c r="AF77" s="34">
        <f>F77*(1-0.00993220338983051)</f>
        <v>0</v>
      </c>
      <c r="AG77" s="29" t="s">
        <v>11</v>
      </c>
      <c r="AM77" s="34">
        <f>E77*AE77</f>
        <v>0</v>
      </c>
      <c r="AN77" s="34">
        <f>E77*AF77</f>
        <v>0</v>
      </c>
      <c r="AO77" s="35" t="s">
        <v>221</v>
      </c>
      <c r="AP77" s="35" t="s">
        <v>232</v>
      </c>
      <c r="AQ77" s="26" t="s">
        <v>234</v>
      </c>
      <c r="AS77" s="34">
        <f>AM77+AN77</f>
        <v>0</v>
      </c>
      <c r="AT77" s="34">
        <f>F77/(100-AU77)*100</f>
        <v>0</v>
      </c>
      <c r="AU77" s="34">
        <v>0</v>
      </c>
      <c r="AV77" s="34">
        <f>K77</f>
        <v>0</v>
      </c>
    </row>
    <row r="78" spans="2:12" ht="12.75">
      <c r="B78" s="14" t="s">
        <v>42</v>
      </c>
      <c r="C78" s="97" t="s">
        <v>163</v>
      </c>
      <c r="D78" s="98"/>
      <c r="E78" s="98"/>
      <c r="F78" s="98"/>
      <c r="G78" s="98"/>
      <c r="H78" s="98"/>
      <c r="I78" s="98"/>
      <c r="J78" s="98"/>
      <c r="K78" s="98"/>
      <c r="L78" s="98"/>
    </row>
    <row r="79" spans="1:37" ht="12.75">
      <c r="A79" s="5"/>
      <c r="B79" s="13"/>
      <c r="C79" s="95" t="s">
        <v>164</v>
      </c>
      <c r="D79" s="96"/>
      <c r="E79" s="96"/>
      <c r="F79" s="96"/>
      <c r="G79" s="37">
        <f>SUM(G80:G83)</f>
        <v>0</v>
      </c>
      <c r="H79" s="37">
        <f>SUM(H80:H83)</f>
        <v>0</v>
      </c>
      <c r="I79" s="37">
        <f>G79+H79</f>
        <v>0</v>
      </c>
      <c r="J79" s="26"/>
      <c r="K79" s="37">
        <f>SUM(K80:K83)</f>
        <v>22.53168</v>
      </c>
      <c r="L79" s="26"/>
      <c r="Y79" s="26"/>
      <c r="AI79" s="37">
        <f>SUM(Z80:Z83)</f>
        <v>0</v>
      </c>
      <c r="AJ79" s="37">
        <f>SUM(AA80:AA83)</f>
        <v>0</v>
      </c>
      <c r="AK79" s="37">
        <f>SUM(AB80:AB83)</f>
        <v>0</v>
      </c>
    </row>
    <row r="80" spans="1:48" ht="12.75">
      <c r="A80" s="6" t="s">
        <v>39</v>
      </c>
      <c r="B80" s="6" t="s">
        <v>89</v>
      </c>
      <c r="C80" s="6" t="s">
        <v>165</v>
      </c>
      <c r="D80" s="6" t="s">
        <v>177</v>
      </c>
      <c r="E80" s="18">
        <v>66</v>
      </c>
      <c r="F80" s="18">
        <v>0</v>
      </c>
      <c r="G80" s="18">
        <f>E80*AE80</f>
        <v>0</v>
      </c>
      <c r="H80" s="18">
        <f>I80-G80</f>
        <v>0</v>
      </c>
      <c r="I80" s="18">
        <f>E80*F80</f>
        <v>0</v>
      </c>
      <c r="J80" s="18">
        <v>0.00048</v>
      </c>
      <c r="K80" s="18">
        <f>E80*J80</f>
        <v>0.03168</v>
      </c>
      <c r="L80" s="30"/>
      <c r="P80" s="34">
        <f>IF(AG80="5",I80,0)</f>
        <v>0</v>
      </c>
      <c r="R80" s="34">
        <f>IF(AG80="1",G80,0)</f>
        <v>0</v>
      </c>
      <c r="S80" s="34">
        <f>IF(AG80="1",H80,0)</f>
        <v>0</v>
      </c>
      <c r="T80" s="34">
        <f>IF(AG80="7",G80,0)</f>
        <v>0</v>
      </c>
      <c r="U80" s="34">
        <f>IF(AG80="7",H80,0)</f>
        <v>0</v>
      </c>
      <c r="V80" s="34">
        <f>IF(AG80="2",G80,0)</f>
        <v>0</v>
      </c>
      <c r="W80" s="34">
        <f>IF(AG80="2",H80,0)</f>
        <v>0</v>
      </c>
      <c r="X80" s="34">
        <f>IF(AG80="0",I80,0)</f>
        <v>0</v>
      </c>
      <c r="Y80" s="26"/>
      <c r="Z80" s="18">
        <f>IF(AD80=0,I80,0)</f>
        <v>0</v>
      </c>
      <c r="AA80" s="18">
        <f>IF(AD80=15,I80,0)</f>
        <v>0</v>
      </c>
      <c r="AB80" s="18">
        <f>IF(AD80=21,I80,0)</f>
        <v>0</v>
      </c>
      <c r="AD80" s="34">
        <v>15</v>
      </c>
      <c r="AE80" s="34">
        <f>F80*1</f>
        <v>0</v>
      </c>
      <c r="AF80" s="34">
        <f>F80*(1-1)</f>
        <v>0</v>
      </c>
      <c r="AG80" s="30" t="s">
        <v>205</v>
      </c>
      <c r="AM80" s="34">
        <f>E80*AE80</f>
        <v>0</v>
      </c>
      <c r="AN80" s="34">
        <f>E80*AF80</f>
        <v>0</v>
      </c>
      <c r="AO80" s="35" t="s">
        <v>222</v>
      </c>
      <c r="AP80" s="35" t="s">
        <v>233</v>
      </c>
      <c r="AQ80" s="26" t="s">
        <v>234</v>
      </c>
      <c r="AS80" s="34">
        <f>AM80+AN80</f>
        <v>0</v>
      </c>
      <c r="AT80" s="34">
        <f>F80/(100-AU80)*100</f>
        <v>0</v>
      </c>
      <c r="AU80" s="34">
        <v>0</v>
      </c>
      <c r="AV80" s="34">
        <f>K80</f>
        <v>0.03168</v>
      </c>
    </row>
    <row r="81" spans="1:48" ht="12.75">
      <c r="A81" s="6" t="s">
        <v>40</v>
      </c>
      <c r="B81" s="6" t="s">
        <v>90</v>
      </c>
      <c r="C81" s="6" t="s">
        <v>166</v>
      </c>
      <c r="D81" s="6" t="s">
        <v>181</v>
      </c>
      <c r="E81" s="18">
        <v>22.5</v>
      </c>
      <c r="F81" s="18">
        <v>0</v>
      </c>
      <c r="G81" s="18">
        <f>E81*AE81</f>
        <v>0</v>
      </c>
      <c r="H81" s="18">
        <f>I81-G81</f>
        <v>0</v>
      </c>
      <c r="I81" s="18">
        <f>E81*F81</f>
        <v>0</v>
      </c>
      <c r="J81" s="18">
        <v>1</v>
      </c>
      <c r="K81" s="18">
        <f>E81*J81</f>
        <v>22.5</v>
      </c>
      <c r="L81" s="30"/>
      <c r="P81" s="34">
        <f>IF(AG81="5",I81,0)</f>
        <v>0</v>
      </c>
      <c r="R81" s="34">
        <f>IF(AG81="1",G81,0)</f>
        <v>0</v>
      </c>
      <c r="S81" s="34">
        <f>IF(AG81="1",H81,0)</f>
        <v>0</v>
      </c>
      <c r="T81" s="34">
        <f>IF(AG81="7",G81,0)</f>
        <v>0</v>
      </c>
      <c r="U81" s="34">
        <f>IF(AG81="7",H81,0)</f>
        <v>0</v>
      </c>
      <c r="V81" s="34">
        <f>IF(AG81="2",G81,0)</f>
        <v>0</v>
      </c>
      <c r="W81" s="34">
        <f>IF(AG81="2",H81,0)</f>
        <v>0</v>
      </c>
      <c r="X81" s="34">
        <f>IF(AG81="0",I81,0)</f>
        <v>0</v>
      </c>
      <c r="Y81" s="26"/>
      <c r="Z81" s="18">
        <f>IF(AD81=0,I81,0)</f>
        <v>0</v>
      </c>
      <c r="AA81" s="18">
        <f>IF(AD81=15,I81,0)</f>
        <v>0</v>
      </c>
      <c r="AB81" s="18">
        <f>IF(AD81=21,I81,0)</f>
        <v>0</v>
      </c>
      <c r="AD81" s="34">
        <v>15</v>
      </c>
      <c r="AE81" s="34">
        <f>F81*1</f>
        <v>0</v>
      </c>
      <c r="AF81" s="34">
        <f>F81*(1-1)</f>
        <v>0</v>
      </c>
      <c r="AG81" s="30" t="s">
        <v>205</v>
      </c>
      <c r="AM81" s="34">
        <f>E81*AE81</f>
        <v>0</v>
      </c>
      <c r="AN81" s="34">
        <f>E81*AF81</f>
        <v>0</v>
      </c>
      <c r="AO81" s="35" t="s">
        <v>222</v>
      </c>
      <c r="AP81" s="35" t="s">
        <v>233</v>
      </c>
      <c r="AQ81" s="26" t="s">
        <v>234</v>
      </c>
      <c r="AS81" s="34">
        <f>AM81+AN81</f>
        <v>0</v>
      </c>
      <c r="AT81" s="34">
        <f>F81/(100-AU81)*100</f>
        <v>0</v>
      </c>
      <c r="AU81" s="34">
        <v>0</v>
      </c>
      <c r="AV81" s="34">
        <f>K81</f>
        <v>22.5</v>
      </c>
    </row>
    <row r="82" spans="2:12" ht="25.5" customHeight="1">
      <c r="B82" s="14" t="s">
        <v>42</v>
      </c>
      <c r="C82" s="97" t="s">
        <v>167</v>
      </c>
      <c r="D82" s="98"/>
      <c r="E82" s="98"/>
      <c r="F82" s="98"/>
      <c r="G82" s="98"/>
      <c r="H82" s="98"/>
      <c r="I82" s="98"/>
      <c r="J82" s="98"/>
      <c r="K82" s="98"/>
      <c r="L82" s="98"/>
    </row>
    <row r="83" spans="1:48" ht="12.75">
      <c r="A83" s="7" t="s">
        <v>41</v>
      </c>
      <c r="B83" s="7" t="s">
        <v>91</v>
      </c>
      <c r="C83" s="7" t="s">
        <v>168</v>
      </c>
      <c r="D83" s="7" t="s">
        <v>180</v>
      </c>
      <c r="E83" s="19">
        <v>108.70773</v>
      </c>
      <c r="F83" s="19">
        <v>0</v>
      </c>
      <c r="G83" s="19">
        <f>E83*AE83</f>
        <v>0</v>
      </c>
      <c r="H83" s="19">
        <f>I83-G83</f>
        <v>0</v>
      </c>
      <c r="I83" s="19">
        <f>E83*F83</f>
        <v>0</v>
      </c>
      <c r="J83" s="19">
        <v>0</v>
      </c>
      <c r="K83" s="19">
        <f>E83*J83</f>
        <v>0</v>
      </c>
      <c r="L83" s="31"/>
      <c r="P83" s="34">
        <f>IF(AG83="5",I83,0)</f>
        <v>0</v>
      </c>
      <c r="R83" s="34">
        <f>IF(AG83="1",G83,0)</f>
        <v>0</v>
      </c>
      <c r="S83" s="34">
        <f>IF(AG83="1",H83,0)</f>
        <v>0</v>
      </c>
      <c r="T83" s="34">
        <f>IF(AG83="7",G83,0)</f>
        <v>0</v>
      </c>
      <c r="U83" s="34">
        <f>IF(AG83="7",H83,0)</f>
        <v>0</v>
      </c>
      <c r="V83" s="34">
        <f>IF(AG83="2",G83,0)</f>
        <v>0</v>
      </c>
      <c r="W83" s="34">
        <f>IF(AG83="2",H83,0)</f>
        <v>0</v>
      </c>
      <c r="X83" s="34">
        <f>IF(AG83="0",I83,0)</f>
        <v>0</v>
      </c>
      <c r="Y83" s="26"/>
      <c r="Z83" s="17">
        <f>IF(AD83=0,I83,0)</f>
        <v>0</v>
      </c>
      <c r="AA83" s="17">
        <f>IF(AD83=15,I83,0)</f>
        <v>0</v>
      </c>
      <c r="AB83" s="17">
        <f>IF(AD83=21,I83,0)</f>
        <v>0</v>
      </c>
      <c r="AD83" s="34">
        <v>15</v>
      </c>
      <c r="AE83" s="34">
        <f>F83*0</f>
        <v>0</v>
      </c>
      <c r="AF83" s="34">
        <f>F83*(1-0)</f>
        <v>0</v>
      </c>
      <c r="AG83" s="29" t="s">
        <v>11</v>
      </c>
      <c r="AM83" s="34">
        <f>E83*AE83</f>
        <v>0</v>
      </c>
      <c r="AN83" s="34">
        <f>E83*AF83</f>
        <v>0</v>
      </c>
      <c r="AO83" s="35" t="s">
        <v>222</v>
      </c>
      <c r="AP83" s="35" t="s">
        <v>233</v>
      </c>
      <c r="AQ83" s="26" t="s">
        <v>234</v>
      </c>
      <c r="AS83" s="34">
        <f>AM83+AN83</f>
        <v>0</v>
      </c>
      <c r="AT83" s="34">
        <f>F83/(100-AU83)*100</f>
        <v>0</v>
      </c>
      <c r="AU83" s="34">
        <v>0</v>
      </c>
      <c r="AV83" s="34">
        <f>K83</f>
        <v>0</v>
      </c>
    </row>
    <row r="84" spans="1:12" ht="12.75">
      <c r="A84" s="8"/>
      <c r="B84" s="8"/>
      <c r="C84" s="8"/>
      <c r="D84" s="8"/>
      <c r="E84" s="8"/>
      <c r="F84" s="8"/>
      <c r="G84" s="99" t="s">
        <v>187</v>
      </c>
      <c r="H84" s="100"/>
      <c r="I84" s="38">
        <f>I12+I14+I17+I20+I22+I24+I41+I44+I48+I53+I58+I60+I63+I68+I70+I76+I79</f>
        <v>0</v>
      </c>
      <c r="J84" s="8"/>
      <c r="K84" s="8"/>
      <c r="L84" s="8"/>
    </row>
    <row r="85" ht="11.25" customHeight="1">
      <c r="A85" s="9" t="s">
        <v>42</v>
      </c>
    </row>
    <row r="86" spans="1:14" ht="25.5" customHeight="1">
      <c r="A86" s="84" t="s">
        <v>43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</sheetData>
  <sheetProtection/>
  <mergeCells count="66">
    <mergeCell ref="C78:L78"/>
    <mergeCell ref="C79:F79"/>
    <mergeCell ref="C82:L82"/>
    <mergeCell ref="G84:H84"/>
    <mergeCell ref="A86:N86"/>
    <mergeCell ref="C66:L66"/>
    <mergeCell ref="C68:F68"/>
    <mergeCell ref="C70:F70"/>
    <mergeCell ref="C72:L72"/>
    <mergeCell ref="C74:L74"/>
    <mergeCell ref="C76:F76"/>
    <mergeCell ref="C55:L55"/>
    <mergeCell ref="C57:L57"/>
    <mergeCell ref="C58:F58"/>
    <mergeCell ref="C60:F60"/>
    <mergeCell ref="C62:L62"/>
    <mergeCell ref="C63:F63"/>
    <mergeCell ref="C44:F44"/>
    <mergeCell ref="C47:L47"/>
    <mergeCell ref="C48:F48"/>
    <mergeCell ref="C50:L50"/>
    <mergeCell ref="C52:L52"/>
    <mergeCell ref="C53:F53"/>
    <mergeCell ref="C31:L31"/>
    <mergeCell ref="C33:L33"/>
    <mergeCell ref="C35:L35"/>
    <mergeCell ref="C37:L37"/>
    <mergeCell ref="C41:F41"/>
    <mergeCell ref="C43:L43"/>
    <mergeCell ref="C19:L19"/>
    <mergeCell ref="C20:F20"/>
    <mergeCell ref="C22:F22"/>
    <mergeCell ref="C24:F24"/>
    <mergeCell ref="C26:L26"/>
    <mergeCell ref="C28:L28"/>
    <mergeCell ref="G10:I10"/>
    <mergeCell ref="J10:K10"/>
    <mergeCell ref="C12:F12"/>
    <mergeCell ref="C14:F14"/>
    <mergeCell ref="C16:L16"/>
    <mergeCell ref="C17:F17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5.00390625" style="0" customWidth="1"/>
    <col min="4" max="4" width="55.8515625" style="0" customWidth="1"/>
    <col min="5" max="5" width="4.28125" style="0" customWidth="1"/>
    <col min="6" max="6" width="12.8515625" style="0" customWidth="1"/>
    <col min="7" max="7" width="20.7109375" style="0" customWidth="1"/>
    <col min="8" max="8" width="20.8515625" style="0" customWidth="1"/>
    <col min="9" max="10" width="20.7109375" style="0" customWidth="1"/>
    <col min="11" max="11" width="22.421875" style="0" customWidth="1"/>
    <col min="12" max="12" width="20.7109375" style="0" customWidth="1"/>
    <col min="13" max="30" width="11.57421875" style="0" customWidth="1"/>
    <col min="31" max="32" width="12.140625" style="0" hidden="1" customWidth="1"/>
  </cols>
  <sheetData>
    <row r="1" spans="1:13" ht="12.75">
      <c r="A1" s="39" t="s">
        <v>5</v>
      </c>
      <c r="B1" s="39" t="s">
        <v>235</v>
      </c>
      <c r="C1" s="39" t="s">
        <v>44</v>
      </c>
      <c r="D1" s="39" t="s">
        <v>95</v>
      </c>
      <c r="E1" s="39" t="s">
        <v>173</v>
      </c>
      <c r="F1" s="39" t="s">
        <v>182</v>
      </c>
      <c r="G1" s="39" t="s">
        <v>236</v>
      </c>
      <c r="H1" s="39" t="s">
        <v>237</v>
      </c>
      <c r="I1" s="39" t="s">
        <v>238</v>
      </c>
      <c r="J1" s="39" t="s">
        <v>239</v>
      </c>
      <c r="K1" s="39" t="s">
        <v>240</v>
      </c>
      <c r="L1" s="47" t="s">
        <v>241</v>
      </c>
      <c r="M1" s="32"/>
    </row>
    <row r="2" spans="1:12" ht="12.75">
      <c r="A2" s="40" t="s">
        <v>6</v>
      </c>
      <c r="B2" s="40" t="s">
        <v>6</v>
      </c>
      <c r="C2" s="40" t="s">
        <v>17</v>
      </c>
      <c r="D2" s="40" t="s">
        <v>97</v>
      </c>
      <c r="E2" s="40" t="s">
        <v>6</v>
      </c>
      <c r="F2" s="44" t="s">
        <v>6</v>
      </c>
      <c r="G2" s="44" t="s">
        <v>6</v>
      </c>
      <c r="H2" s="36">
        <f>SUM(H3:H3)</f>
        <v>0</v>
      </c>
      <c r="I2" s="48">
        <f>SUM(I3:I3)</f>
        <v>0</v>
      </c>
      <c r="J2" s="48">
        <f>SUM(J3:J3)</f>
        <v>0</v>
      </c>
      <c r="K2" s="44" t="s">
        <v>6</v>
      </c>
      <c r="L2" s="48">
        <f>SUM(L3:L3)</f>
        <v>11.04</v>
      </c>
    </row>
    <row r="3" spans="1:32" ht="12.75">
      <c r="A3" s="4" t="s">
        <v>7</v>
      </c>
      <c r="B3" s="4"/>
      <c r="C3" s="4" t="s">
        <v>45</v>
      </c>
      <c r="D3" s="4" t="s">
        <v>98</v>
      </c>
      <c r="E3" s="4" t="s">
        <v>174</v>
      </c>
      <c r="F3" s="17">
        <f>'Stavební rozpočet'!E13</f>
        <v>23</v>
      </c>
      <c r="G3" s="17">
        <f>'Stavební rozpočet'!F13</f>
        <v>0</v>
      </c>
      <c r="H3" s="17">
        <f>AE3*F3</f>
        <v>0</v>
      </c>
      <c r="I3" s="17">
        <f>AF3*F3</f>
        <v>0</v>
      </c>
      <c r="J3" s="17">
        <f>AE3*F3+AF3*F3</f>
        <v>0</v>
      </c>
      <c r="K3" s="17">
        <f>'Stavební rozpočet'!J13</f>
        <v>0.48</v>
      </c>
      <c r="L3" s="17">
        <f>K3*F3</f>
        <v>11.04</v>
      </c>
      <c r="AE3" s="51">
        <f>G3*0</f>
        <v>0</v>
      </c>
      <c r="AF3" s="51">
        <f>G3*(1-0)</f>
        <v>0</v>
      </c>
    </row>
    <row r="4" spans="1:12" ht="12.75">
      <c r="A4" s="41" t="s">
        <v>6</v>
      </c>
      <c r="B4" s="41" t="s">
        <v>6</v>
      </c>
      <c r="C4" s="41" t="s">
        <v>18</v>
      </c>
      <c r="D4" s="41" t="s">
        <v>99</v>
      </c>
      <c r="E4" s="41" t="s">
        <v>6</v>
      </c>
      <c r="F4" s="45" t="s">
        <v>6</v>
      </c>
      <c r="G4" s="45" t="s">
        <v>6</v>
      </c>
      <c r="H4" s="37">
        <f>SUM(H5:H5)</f>
        <v>0</v>
      </c>
      <c r="I4" s="49">
        <f>SUM(I5:I5)</f>
        <v>0</v>
      </c>
      <c r="J4" s="49">
        <f>SUM(J5:J5)</f>
        <v>0</v>
      </c>
      <c r="K4" s="45" t="s">
        <v>6</v>
      </c>
      <c r="L4" s="49">
        <f>SUM(L5:L5)</f>
        <v>0</v>
      </c>
    </row>
    <row r="5" spans="1:32" ht="12.75">
      <c r="A5" s="4" t="s">
        <v>8</v>
      </c>
      <c r="B5" s="4"/>
      <c r="C5" s="4" t="s">
        <v>46</v>
      </c>
      <c r="D5" s="4" t="s">
        <v>100</v>
      </c>
      <c r="E5" s="4" t="s">
        <v>175</v>
      </c>
      <c r="F5" s="17">
        <f>'Stavební rozpočet'!E15</f>
        <v>14.756</v>
      </c>
      <c r="G5" s="17">
        <f>'Stavební rozpočet'!F15</f>
        <v>0</v>
      </c>
      <c r="H5" s="17">
        <f>AE5*F5</f>
        <v>0</v>
      </c>
      <c r="I5" s="17">
        <f>AF5*F5</f>
        <v>0</v>
      </c>
      <c r="J5" s="17">
        <f>AE5*F5+AF5*F5</f>
        <v>0</v>
      </c>
      <c r="K5" s="17">
        <f>'Stavební rozpočet'!J15</f>
        <v>0</v>
      </c>
      <c r="L5" s="17">
        <f>K5*F5</f>
        <v>0</v>
      </c>
      <c r="AE5" s="51">
        <f>G5*0</f>
        <v>0</v>
      </c>
      <c r="AF5" s="51">
        <f>G5*(1-0)</f>
        <v>0</v>
      </c>
    </row>
    <row r="6" spans="3:9" ht="63.75" customHeight="1">
      <c r="C6" s="42" t="s">
        <v>42</v>
      </c>
      <c r="D6" s="101" t="s">
        <v>101</v>
      </c>
      <c r="E6" s="102"/>
      <c r="F6" s="102"/>
      <c r="G6" s="102"/>
      <c r="H6" s="102"/>
      <c r="I6" s="102"/>
    </row>
    <row r="7" spans="1:12" ht="12.75">
      <c r="A7" s="41" t="s">
        <v>6</v>
      </c>
      <c r="B7" s="41" t="s">
        <v>6</v>
      </c>
      <c r="C7" s="41" t="s">
        <v>27</v>
      </c>
      <c r="D7" s="41" t="s">
        <v>102</v>
      </c>
      <c r="E7" s="41" t="s">
        <v>6</v>
      </c>
      <c r="F7" s="45" t="s">
        <v>6</v>
      </c>
      <c r="G7" s="45" t="s">
        <v>6</v>
      </c>
      <c r="H7" s="37">
        <f>SUM(H8:H8)</f>
        <v>0</v>
      </c>
      <c r="I7" s="49">
        <f>SUM(I8:I8)</f>
        <v>0</v>
      </c>
      <c r="J7" s="49">
        <f>SUM(J8:J8)</f>
        <v>0</v>
      </c>
      <c r="K7" s="45" t="s">
        <v>6</v>
      </c>
      <c r="L7" s="49">
        <f>SUM(L8:L8)</f>
        <v>4.352</v>
      </c>
    </row>
    <row r="8" spans="1:32" ht="12.75">
      <c r="A8" s="4" t="s">
        <v>9</v>
      </c>
      <c r="B8" s="4"/>
      <c r="C8" s="4" t="s">
        <v>47</v>
      </c>
      <c r="D8" s="4" t="s">
        <v>103</v>
      </c>
      <c r="E8" s="4" t="s">
        <v>176</v>
      </c>
      <c r="F8" s="17">
        <f>'Stavební rozpočet'!E18</f>
        <v>1</v>
      </c>
      <c r="G8" s="17">
        <f>'Stavební rozpočet'!F18</f>
        <v>0</v>
      </c>
      <c r="H8" s="17">
        <f>AE8*F8</f>
        <v>0</v>
      </c>
      <c r="I8" s="17">
        <f>AF8*F8</f>
        <v>0</v>
      </c>
      <c r="J8" s="17">
        <f>AE8*F8+AF8*F8</f>
        <v>0</v>
      </c>
      <c r="K8" s="17">
        <f>'Stavební rozpočet'!J18</f>
        <v>4.352</v>
      </c>
      <c r="L8" s="17">
        <f>K8*F8</f>
        <v>4.352</v>
      </c>
      <c r="AE8" s="51">
        <f>G8*0.432785350318471</f>
        <v>0</v>
      </c>
      <c r="AF8" s="51">
        <f>G8*(1-0.432785350318471)</f>
        <v>0</v>
      </c>
    </row>
    <row r="9" spans="3:9" ht="12.75">
      <c r="C9" s="42" t="s">
        <v>42</v>
      </c>
      <c r="D9" s="101" t="s">
        <v>104</v>
      </c>
      <c r="E9" s="102"/>
      <c r="F9" s="102"/>
      <c r="G9" s="102"/>
      <c r="H9" s="102"/>
      <c r="I9" s="102"/>
    </row>
    <row r="10" spans="1:12" ht="12.75">
      <c r="A10" s="41" t="s">
        <v>6</v>
      </c>
      <c r="B10" s="41" t="s">
        <v>6</v>
      </c>
      <c r="C10" s="41" t="s">
        <v>37</v>
      </c>
      <c r="D10" s="41" t="s">
        <v>105</v>
      </c>
      <c r="E10" s="41" t="s">
        <v>6</v>
      </c>
      <c r="F10" s="45" t="s">
        <v>6</v>
      </c>
      <c r="G10" s="45" t="s">
        <v>6</v>
      </c>
      <c r="H10" s="37">
        <f>SUM(H11:H11)</f>
        <v>0</v>
      </c>
      <c r="I10" s="49">
        <f>SUM(I11:I11)</f>
        <v>0</v>
      </c>
      <c r="J10" s="49">
        <f>SUM(J11:J11)</f>
        <v>0</v>
      </c>
      <c r="K10" s="45" t="s">
        <v>6</v>
      </c>
      <c r="L10" s="49">
        <f>SUM(L11:L11)</f>
        <v>2.01208</v>
      </c>
    </row>
    <row r="11" spans="1:32" ht="12.75">
      <c r="A11" s="4" t="s">
        <v>10</v>
      </c>
      <c r="B11" s="4"/>
      <c r="C11" s="4" t="s">
        <v>48</v>
      </c>
      <c r="D11" s="4" t="s">
        <v>106</v>
      </c>
      <c r="E11" s="4" t="s">
        <v>175</v>
      </c>
      <c r="F11" s="17">
        <f>'Stavební rozpočet'!E21</f>
        <v>1</v>
      </c>
      <c r="G11" s="17">
        <f>'Stavební rozpočet'!F21</f>
        <v>0</v>
      </c>
      <c r="H11" s="17">
        <f>AE11*F11</f>
        <v>0</v>
      </c>
      <c r="I11" s="17">
        <f>AF11*F11</f>
        <v>0</v>
      </c>
      <c r="J11" s="17">
        <f>AE11*F11+AF11*F11</f>
        <v>0</v>
      </c>
      <c r="K11" s="17">
        <f>'Stavební rozpočet'!J21</f>
        <v>2.01208</v>
      </c>
      <c r="L11" s="17">
        <f>K11*F11</f>
        <v>2.01208</v>
      </c>
      <c r="AE11" s="51">
        <f>G11*0.194875964718853</f>
        <v>0</v>
      </c>
      <c r="AF11" s="51">
        <f>G11*(1-0.194875964718853)</f>
        <v>0</v>
      </c>
    </row>
    <row r="12" spans="1:12" ht="12.75">
      <c r="A12" s="41" t="s">
        <v>6</v>
      </c>
      <c r="B12" s="41" t="s">
        <v>6</v>
      </c>
      <c r="C12" s="41" t="s">
        <v>49</v>
      </c>
      <c r="D12" s="41" t="s">
        <v>107</v>
      </c>
      <c r="E12" s="41" t="s">
        <v>6</v>
      </c>
      <c r="F12" s="45" t="s">
        <v>6</v>
      </c>
      <c r="G12" s="45" t="s">
        <v>6</v>
      </c>
      <c r="H12" s="37">
        <f>SUM(H13:H13)</f>
        <v>0</v>
      </c>
      <c r="I12" s="49">
        <f>SUM(I13:I13)</f>
        <v>0</v>
      </c>
      <c r="J12" s="49">
        <f>SUM(J13:J13)</f>
        <v>0</v>
      </c>
      <c r="K12" s="45" t="s">
        <v>6</v>
      </c>
      <c r="L12" s="49">
        <f>SUM(L13:L13)</f>
        <v>12.420000000000002</v>
      </c>
    </row>
    <row r="13" spans="1:32" ht="12.75">
      <c r="A13" s="4" t="s">
        <v>11</v>
      </c>
      <c r="B13" s="4"/>
      <c r="C13" s="4" t="s">
        <v>50</v>
      </c>
      <c r="D13" s="4" t="s">
        <v>108</v>
      </c>
      <c r="E13" s="4" t="s">
        <v>174</v>
      </c>
      <c r="F13" s="17">
        <f>'Stavební rozpočet'!E23</f>
        <v>23</v>
      </c>
      <c r="G13" s="17">
        <f>'Stavební rozpočet'!F23</f>
        <v>0</v>
      </c>
      <c r="H13" s="17">
        <f>AE13*F13</f>
        <v>0</v>
      </c>
      <c r="I13" s="17">
        <f>AF13*F13</f>
        <v>0</v>
      </c>
      <c r="J13" s="17">
        <f>AE13*F13+AF13*F13</f>
        <v>0</v>
      </c>
      <c r="K13" s="17">
        <f>'Stavební rozpočet'!J23</f>
        <v>0.54</v>
      </c>
      <c r="L13" s="17">
        <f>K13*F13</f>
        <v>12.420000000000002</v>
      </c>
      <c r="AE13" s="51">
        <f>G13*0.330570469798658</f>
        <v>0</v>
      </c>
      <c r="AF13" s="51">
        <f>G13*(1-0.330570469798658)</f>
        <v>0</v>
      </c>
    </row>
    <row r="14" spans="1:12" ht="12.75">
      <c r="A14" s="41" t="s">
        <v>6</v>
      </c>
      <c r="B14" s="41" t="s">
        <v>6</v>
      </c>
      <c r="C14" s="41" t="s">
        <v>51</v>
      </c>
      <c r="D14" s="41" t="s">
        <v>109</v>
      </c>
      <c r="E14" s="41" t="s">
        <v>6</v>
      </c>
      <c r="F14" s="45" t="s">
        <v>6</v>
      </c>
      <c r="G14" s="45" t="s">
        <v>6</v>
      </c>
      <c r="H14" s="37">
        <f>SUM(H15:H30)</f>
        <v>0</v>
      </c>
      <c r="I14" s="49">
        <f>SUM(I15:I30)</f>
        <v>0</v>
      </c>
      <c r="J14" s="49">
        <f>SUM(J15:J30)</f>
        <v>0</v>
      </c>
      <c r="K14" s="45" t="s">
        <v>6</v>
      </c>
      <c r="L14" s="49">
        <f>SUM(L15:L30)</f>
        <v>43.39296159999999</v>
      </c>
    </row>
    <row r="15" spans="1:32" ht="12.75">
      <c r="A15" s="4" t="s">
        <v>12</v>
      </c>
      <c r="B15" s="4"/>
      <c r="C15" s="4" t="s">
        <v>52</v>
      </c>
      <c r="D15" s="4" t="s">
        <v>110</v>
      </c>
      <c r="E15" s="4" t="s">
        <v>174</v>
      </c>
      <c r="F15" s="17">
        <f>'Stavební rozpočet'!E25</f>
        <v>76.32</v>
      </c>
      <c r="G15" s="17">
        <f>'Stavební rozpočet'!F25</f>
        <v>0</v>
      </c>
      <c r="H15" s="17">
        <f>AE15*F15</f>
        <v>0</v>
      </c>
      <c r="I15" s="17">
        <f>AF15*F15</f>
        <v>0</v>
      </c>
      <c r="J15" s="17">
        <f>AE15*F15+AF15*F15</f>
        <v>0</v>
      </c>
      <c r="K15" s="17">
        <f>'Stavební rozpočet'!J25</f>
        <v>0.00083</v>
      </c>
      <c r="L15" s="17">
        <f>K15*F15</f>
        <v>0.0633456</v>
      </c>
      <c r="AE15" s="51">
        <f>G15*0.617732648133243</f>
        <v>0</v>
      </c>
      <c r="AF15" s="51">
        <f>G15*(1-0.617732648133243)</f>
        <v>0</v>
      </c>
    </row>
    <row r="16" spans="3:9" ht="12.75">
      <c r="C16" s="42" t="s">
        <v>42</v>
      </c>
      <c r="D16" s="101" t="s">
        <v>111</v>
      </c>
      <c r="E16" s="102"/>
      <c r="F16" s="102"/>
      <c r="G16" s="102"/>
      <c r="H16" s="102"/>
      <c r="I16" s="102"/>
    </row>
    <row r="17" spans="1:32" ht="12.75">
      <c r="A17" s="4" t="s">
        <v>13</v>
      </c>
      <c r="B17" s="4"/>
      <c r="C17" s="4" t="s">
        <v>53</v>
      </c>
      <c r="D17" s="4" t="s">
        <v>112</v>
      </c>
      <c r="E17" s="4" t="s">
        <v>174</v>
      </c>
      <c r="F17" s="17">
        <f>'Stavební rozpočet'!E27</f>
        <v>560</v>
      </c>
      <c r="G17" s="17">
        <f>'Stavební rozpočet'!F27</f>
        <v>0</v>
      </c>
      <c r="H17" s="17">
        <f>AE17*F17</f>
        <v>0</v>
      </c>
      <c r="I17" s="17">
        <f>AF17*F17</f>
        <v>0</v>
      </c>
      <c r="J17" s="17">
        <f>AE17*F17+AF17*F17</f>
        <v>0</v>
      </c>
      <c r="K17" s="17">
        <f>'Stavební rozpočet'!J27</f>
        <v>0.05723</v>
      </c>
      <c r="L17" s="17">
        <f>K17*F17</f>
        <v>32.0488</v>
      </c>
      <c r="AE17" s="51">
        <f>G17*0.106561264822134</f>
        <v>0</v>
      </c>
      <c r="AF17" s="51">
        <f>G17*(1-0.106561264822134)</f>
        <v>0</v>
      </c>
    </row>
    <row r="18" spans="3:9" ht="12.75">
      <c r="C18" s="42" t="s">
        <v>42</v>
      </c>
      <c r="D18" s="101" t="s">
        <v>113</v>
      </c>
      <c r="E18" s="102"/>
      <c r="F18" s="102"/>
      <c r="G18" s="102"/>
      <c r="H18" s="102"/>
      <c r="I18" s="102"/>
    </row>
    <row r="19" spans="1:32" ht="12.75">
      <c r="A19" s="4" t="s">
        <v>14</v>
      </c>
      <c r="B19" s="4"/>
      <c r="C19" s="4" t="s">
        <v>54</v>
      </c>
      <c r="D19" s="4" t="s">
        <v>114</v>
      </c>
      <c r="E19" s="4" t="s">
        <v>174</v>
      </c>
      <c r="F19" s="17">
        <f>'Stavební rozpočet'!E29</f>
        <v>68</v>
      </c>
      <c r="G19" s="17">
        <f>'Stavební rozpočet'!F29</f>
        <v>0</v>
      </c>
      <c r="H19" s="17">
        <f>AE19*F19</f>
        <v>0</v>
      </c>
      <c r="I19" s="17">
        <f>AF19*F19</f>
        <v>0</v>
      </c>
      <c r="J19" s="17">
        <f>AE19*F19+AF19*F19</f>
        <v>0</v>
      </c>
      <c r="K19" s="17">
        <f>'Stavební rozpočet'!J29</f>
        <v>4E-05</v>
      </c>
      <c r="L19" s="17">
        <f>K19*F19</f>
        <v>0.00272</v>
      </c>
      <c r="AE19" s="51">
        <f>G19*0.394362104039523</f>
        <v>0</v>
      </c>
      <c r="AF19" s="51">
        <f>G19*(1-0.394362104039523)</f>
        <v>0</v>
      </c>
    </row>
    <row r="20" spans="1:32" ht="12.75">
      <c r="A20" s="4" t="s">
        <v>15</v>
      </c>
      <c r="B20" s="4"/>
      <c r="C20" s="4" t="s">
        <v>55</v>
      </c>
      <c r="D20" s="4" t="s">
        <v>115</v>
      </c>
      <c r="E20" s="4" t="s">
        <v>174</v>
      </c>
      <c r="F20" s="17">
        <f>'Stavební rozpočet'!E30</f>
        <v>560</v>
      </c>
      <c r="G20" s="17">
        <f>'Stavební rozpočet'!F30</f>
        <v>0</v>
      </c>
      <c r="H20" s="17">
        <f>AE20*F20</f>
        <v>0</v>
      </c>
      <c r="I20" s="17">
        <f>AF20*F20</f>
        <v>0</v>
      </c>
      <c r="J20" s="17">
        <f>AE20*F20+AF20*F20</f>
        <v>0</v>
      </c>
      <c r="K20" s="17">
        <f>'Stavební rozpočet'!J30</f>
        <v>0.00925</v>
      </c>
      <c r="L20" s="17">
        <f>K20*F20</f>
        <v>5.18</v>
      </c>
      <c r="AE20" s="51">
        <f>G20*0.680888030888031</f>
        <v>0</v>
      </c>
      <c r="AF20" s="51">
        <f>G20*(1-0.680888030888031)</f>
        <v>0</v>
      </c>
    </row>
    <row r="21" spans="3:9" ht="12.75">
      <c r="C21" s="42" t="s">
        <v>42</v>
      </c>
      <c r="D21" s="101" t="s">
        <v>116</v>
      </c>
      <c r="E21" s="102"/>
      <c r="F21" s="102"/>
      <c r="G21" s="102"/>
      <c r="H21" s="102"/>
      <c r="I21" s="102"/>
    </row>
    <row r="22" spans="1:32" ht="12.75">
      <c r="A22" s="4" t="s">
        <v>16</v>
      </c>
      <c r="B22" s="4"/>
      <c r="C22" s="4" t="s">
        <v>56</v>
      </c>
      <c r="D22" s="4" t="s">
        <v>117</v>
      </c>
      <c r="E22" s="4" t="s">
        <v>174</v>
      </c>
      <c r="F22" s="17">
        <f>'Stavební rozpočet'!E32</f>
        <v>26.64</v>
      </c>
      <c r="G22" s="17">
        <f>'Stavební rozpočet'!F32</f>
        <v>0</v>
      </c>
      <c r="H22" s="17">
        <f>AE22*F22</f>
        <v>0</v>
      </c>
      <c r="I22" s="17">
        <f>AF22*F22</f>
        <v>0</v>
      </c>
      <c r="J22" s="17">
        <f>AE22*F22+AF22*F22</f>
        <v>0</v>
      </c>
      <c r="K22" s="17">
        <f>'Stavební rozpočet'!J32</f>
        <v>0</v>
      </c>
      <c r="L22" s="17">
        <f>K22*F22</f>
        <v>0</v>
      </c>
      <c r="AE22" s="51">
        <f>G22*0</f>
        <v>0</v>
      </c>
      <c r="AF22" s="51">
        <f>G22*(1-0)</f>
        <v>0</v>
      </c>
    </row>
    <row r="23" spans="3:9" ht="12.75">
      <c r="C23" s="42" t="s">
        <v>42</v>
      </c>
      <c r="D23" s="101" t="s">
        <v>118</v>
      </c>
      <c r="E23" s="102"/>
      <c r="F23" s="102"/>
      <c r="G23" s="102"/>
      <c r="H23" s="102"/>
      <c r="I23" s="102"/>
    </row>
    <row r="24" spans="1:32" ht="12.75">
      <c r="A24" s="4" t="s">
        <v>17</v>
      </c>
      <c r="B24" s="4"/>
      <c r="C24" s="4" t="s">
        <v>57</v>
      </c>
      <c r="D24" s="4" t="s">
        <v>119</v>
      </c>
      <c r="E24" s="4" t="s">
        <v>174</v>
      </c>
      <c r="F24" s="17">
        <f>'Stavební rozpočet'!E34</f>
        <v>76.32</v>
      </c>
      <c r="G24" s="17">
        <f>'Stavební rozpočet'!F34</f>
        <v>0</v>
      </c>
      <c r="H24" s="17">
        <f>AE24*F24</f>
        <v>0</v>
      </c>
      <c r="I24" s="17">
        <f>AF24*F24</f>
        <v>0</v>
      </c>
      <c r="J24" s="17">
        <f>AE24*F24+AF24*F24</f>
        <v>0</v>
      </c>
      <c r="K24" s="17">
        <f>'Stavební rozpočet'!J34</f>
        <v>0.07455</v>
      </c>
      <c r="L24" s="17">
        <f>K24*F24</f>
        <v>5.689656</v>
      </c>
      <c r="AE24" s="51">
        <f>G24*0.660261904761905</f>
        <v>0</v>
      </c>
      <c r="AF24" s="51">
        <f>G24*(1-0.660261904761905)</f>
        <v>0</v>
      </c>
    </row>
    <row r="25" spans="3:9" ht="12.75">
      <c r="C25" s="42" t="s">
        <v>42</v>
      </c>
      <c r="D25" s="101" t="s">
        <v>120</v>
      </c>
      <c r="E25" s="102"/>
      <c r="F25" s="102"/>
      <c r="G25" s="102"/>
      <c r="H25" s="102"/>
      <c r="I25" s="102"/>
    </row>
    <row r="26" spans="1:32" ht="12.75">
      <c r="A26" s="4" t="s">
        <v>18</v>
      </c>
      <c r="B26" s="4"/>
      <c r="C26" s="4" t="s">
        <v>58</v>
      </c>
      <c r="D26" s="4" t="s">
        <v>121</v>
      </c>
      <c r="E26" s="4" t="s">
        <v>174</v>
      </c>
      <c r="F26" s="17">
        <f>'Stavební rozpočet'!E36</f>
        <v>560</v>
      </c>
      <c r="G26" s="17">
        <f>'Stavební rozpočet'!F36</f>
        <v>0</v>
      </c>
      <c r="H26" s="17">
        <f>AE26*F26</f>
        <v>0</v>
      </c>
      <c r="I26" s="17">
        <f>AF26*F26</f>
        <v>0</v>
      </c>
      <c r="J26" s="17">
        <f>AE26*F26+AF26*F26</f>
        <v>0</v>
      </c>
      <c r="K26" s="17">
        <f>'Stavební rozpočet'!J36</f>
        <v>0.00058</v>
      </c>
      <c r="L26" s="17">
        <f>K26*F26</f>
        <v>0.3248</v>
      </c>
      <c r="AE26" s="51">
        <f>G26*0.458892733564014</f>
        <v>0</v>
      </c>
      <c r="AF26" s="51">
        <f>G26*(1-0.458892733564014)</f>
        <v>0</v>
      </c>
    </row>
    <row r="27" spans="3:9" ht="12.75">
      <c r="C27" s="42" t="s">
        <v>42</v>
      </c>
      <c r="D27" s="101" t="s">
        <v>122</v>
      </c>
      <c r="E27" s="102"/>
      <c r="F27" s="102"/>
      <c r="G27" s="102"/>
      <c r="H27" s="102"/>
      <c r="I27" s="102"/>
    </row>
    <row r="28" spans="1:32" ht="12.75">
      <c r="A28" s="4" t="s">
        <v>19</v>
      </c>
      <c r="B28" s="4"/>
      <c r="C28" s="4" t="s">
        <v>59</v>
      </c>
      <c r="D28" s="4" t="s">
        <v>123</v>
      </c>
      <c r="E28" s="4" t="s">
        <v>174</v>
      </c>
      <c r="F28" s="17">
        <f>'Stavební rozpočet'!E38</f>
        <v>8</v>
      </c>
      <c r="G28" s="17">
        <f>'Stavební rozpočet'!F38</f>
        <v>0</v>
      </c>
      <c r="H28" s="17">
        <f>AE28*F28</f>
        <v>0</v>
      </c>
      <c r="I28" s="17">
        <f>AF28*F28</f>
        <v>0</v>
      </c>
      <c r="J28" s="17">
        <f>AE28*F28+AF28*F28</f>
        <v>0</v>
      </c>
      <c r="K28" s="17">
        <f>'Stavební rozpočet'!J38</f>
        <v>0.00763</v>
      </c>
      <c r="L28" s="17">
        <f>K28*F28</f>
        <v>0.06104</v>
      </c>
      <c r="AE28" s="51">
        <f>G28*0.0631460674157304</f>
        <v>0</v>
      </c>
      <c r="AF28" s="51">
        <f>G28*(1-0.0631460674157304)</f>
        <v>0</v>
      </c>
    </row>
    <row r="29" spans="1:32" ht="12.75">
      <c r="A29" s="4" t="s">
        <v>20</v>
      </c>
      <c r="B29" s="4"/>
      <c r="C29" s="4" t="s">
        <v>60</v>
      </c>
      <c r="D29" s="4" t="s">
        <v>124</v>
      </c>
      <c r="E29" s="4" t="s">
        <v>174</v>
      </c>
      <c r="F29" s="17">
        <f>'Stavební rozpočet'!E39</f>
        <v>100</v>
      </c>
      <c r="G29" s="17">
        <f>'Stavební rozpočet'!F39</f>
        <v>0</v>
      </c>
      <c r="H29" s="17">
        <f>AE29*F29</f>
        <v>0</v>
      </c>
      <c r="I29" s="17">
        <f>AF29*F29</f>
        <v>0</v>
      </c>
      <c r="J29" s="17">
        <f>AE29*F29+AF29*F29</f>
        <v>0</v>
      </c>
      <c r="K29" s="17">
        <f>'Stavební rozpočet'!J39</f>
        <v>0.0001</v>
      </c>
      <c r="L29" s="17">
        <f>K29*F29</f>
        <v>0.01</v>
      </c>
      <c r="AE29" s="51">
        <f>G29*0.216494845360825</f>
        <v>0</v>
      </c>
      <c r="AF29" s="51">
        <f>G29*(1-0.216494845360825)</f>
        <v>0</v>
      </c>
    </row>
    <row r="30" spans="1:32" ht="12.75">
      <c r="A30" s="4" t="s">
        <v>21</v>
      </c>
      <c r="B30" s="4"/>
      <c r="C30" s="4" t="s">
        <v>61</v>
      </c>
      <c r="D30" s="4" t="s">
        <v>125</v>
      </c>
      <c r="E30" s="4" t="s">
        <v>174</v>
      </c>
      <c r="F30" s="17">
        <f>'Stavební rozpočet'!E40</f>
        <v>630</v>
      </c>
      <c r="G30" s="17">
        <f>'Stavební rozpočet'!F40</f>
        <v>0</v>
      </c>
      <c r="H30" s="17">
        <f>AE30*F30</f>
        <v>0</v>
      </c>
      <c r="I30" s="17">
        <f>AF30*F30</f>
        <v>0</v>
      </c>
      <c r="J30" s="17">
        <f>AE30*F30+AF30*F30</f>
        <v>0</v>
      </c>
      <c r="K30" s="17">
        <f>'Stavební rozpočet'!J40</f>
        <v>2E-05</v>
      </c>
      <c r="L30" s="17">
        <f>K30*F30</f>
        <v>0.012600000000000002</v>
      </c>
      <c r="AE30" s="51">
        <f>G30*0.0691891891891892</f>
        <v>0</v>
      </c>
      <c r="AF30" s="51">
        <f>G30*(1-0.0691891891891892)</f>
        <v>0</v>
      </c>
    </row>
    <row r="31" spans="1:12" ht="12.75">
      <c r="A31" s="41" t="s">
        <v>6</v>
      </c>
      <c r="B31" s="41" t="s">
        <v>6</v>
      </c>
      <c r="C31" s="41" t="s">
        <v>62</v>
      </c>
      <c r="D31" s="41" t="s">
        <v>126</v>
      </c>
      <c r="E31" s="41" t="s">
        <v>6</v>
      </c>
      <c r="F31" s="45" t="s">
        <v>6</v>
      </c>
      <c r="G31" s="45" t="s">
        <v>6</v>
      </c>
      <c r="H31" s="37">
        <f>SUM(H32:H32)</f>
        <v>0</v>
      </c>
      <c r="I31" s="49">
        <f>SUM(I32:I32)</f>
        <v>0</v>
      </c>
      <c r="J31" s="49">
        <f>SUM(J32:J32)</f>
        <v>0</v>
      </c>
      <c r="K31" s="45" t="s">
        <v>6</v>
      </c>
      <c r="L31" s="49">
        <f>SUM(L32:L32)</f>
        <v>0.03889600000000001</v>
      </c>
    </row>
    <row r="32" spans="1:32" ht="12.75">
      <c r="A32" s="4" t="s">
        <v>22</v>
      </c>
      <c r="B32" s="4"/>
      <c r="C32" s="4" t="s">
        <v>63</v>
      </c>
      <c r="D32" s="4" t="s">
        <v>127</v>
      </c>
      <c r="E32" s="4" t="s">
        <v>174</v>
      </c>
      <c r="F32" s="17">
        <f>'Stavební rozpočet'!E42</f>
        <v>57.2</v>
      </c>
      <c r="G32" s="17">
        <f>'Stavební rozpočet'!F42</f>
        <v>0</v>
      </c>
      <c r="H32" s="17">
        <f>AE32*F32</f>
        <v>0</v>
      </c>
      <c r="I32" s="17">
        <f>AF32*F32</f>
        <v>0</v>
      </c>
      <c r="J32" s="17">
        <f>AE32*F32+AF32*F32</f>
        <v>0</v>
      </c>
      <c r="K32" s="17">
        <f>'Stavební rozpočet'!J42</f>
        <v>0.00068</v>
      </c>
      <c r="L32" s="17">
        <f>K32*F32</f>
        <v>0.03889600000000001</v>
      </c>
      <c r="AE32" s="51">
        <f>G32*0.485011820330969</f>
        <v>0</v>
      </c>
      <c r="AF32" s="51">
        <f>G32*(1-0.485011820330969)</f>
        <v>0</v>
      </c>
    </row>
    <row r="33" spans="3:9" ht="12.75">
      <c r="C33" s="42" t="s">
        <v>42</v>
      </c>
      <c r="D33" s="101" t="s">
        <v>128</v>
      </c>
      <c r="E33" s="102"/>
      <c r="F33" s="102"/>
      <c r="G33" s="102"/>
      <c r="H33" s="102"/>
      <c r="I33" s="102"/>
    </row>
    <row r="34" spans="1:12" ht="12.75">
      <c r="A34" s="41" t="s">
        <v>6</v>
      </c>
      <c r="B34" s="41" t="s">
        <v>6</v>
      </c>
      <c r="C34" s="41" t="s">
        <v>64</v>
      </c>
      <c r="D34" s="41" t="s">
        <v>129</v>
      </c>
      <c r="E34" s="41" t="s">
        <v>6</v>
      </c>
      <c r="F34" s="45" t="s">
        <v>6</v>
      </c>
      <c r="G34" s="45" t="s">
        <v>6</v>
      </c>
      <c r="H34" s="37">
        <f>SUM(H35:H36)</f>
        <v>0</v>
      </c>
      <c r="I34" s="49">
        <f>SUM(I35:I36)</f>
        <v>0</v>
      </c>
      <c r="J34" s="49">
        <f>SUM(J35:J36)</f>
        <v>0</v>
      </c>
      <c r="K34" s="45" t="s">
        <v>6</v>
      </c>
      <c r="L34" s="49">
        <f>SUM(L35:L36)</f>
        <v>0.13546</v>
      </c>
    </row>
    <row r="35" spans="1:32" ht="12.75">
      <c r="A35" s="4" t="s">
        <v>23</v>
      </c>
      <c r="B35" s="4"/>
      <c r="C35" s="4" t="s">
        <v>65</v>
      </c>
      <c r="D35" s="4" t="s">
        <v>130</v>
      </c>
      <c r="E35" s="4" t="s">
        <v>177</v>
      </c>
      <c r="F35" s="17">
        <f>'Stavební rozpočet'!E45</f>
        <v>50</v>
      </c>
      <c r="G35" s="17">
        <f>'Stavební rozpočet'!F45</f>
        <v>0</v>
      </c>
      <c r="H35" s="17">
        <f>AE35*F35</f>
        <v>0</v>
      </c>
      <c r="I35" s="17">
        <f>AF35*F35</f>
        <v>0</v>
      </c>
      <c r="J35" s="17">
        <f>AE35*F35+AF35*F35</f>
        <v>0</v>
      </c>
      <c r="K35" s="17">
        <f>'Stavební rozpočet'!J45</f>
        <v>0.00263</v>
      </c>
      <c r="L35" s="17">
        <f>K35*F35</f>
        <v>0.1315</v>
      </c>
      <c r="AE35" s="51">
        <f>G35*0.315415162454874</f>
        <v>0</v>
      </c>
      <c r="AF35" s="51">
        <f>G35*(1-0.315415162454874)</f>
        <v>0</v>
      </c>
    </row>
    <row r="36" spans="1:32" ht="12.75">
      <c r="A36" s="4" t="s">
        <v>24</v>
      </c>
      <c r="B36" s="4"/>
      <c r="C36" s="4" t="s">
        <v>66</v>
      </c>
      <c r="D36" s="4" t="s">
        <v>131</v>
      </c>
      <c r="E36" s="4" t="s">
        <v>178</v>
      </c>
      <c r="F36" s="17">
        <f>'Stavební rozpočet'!E46</f>
        <v>6</v>
      </c>
      <c r="G36" s="17">
        <f>'Stavební rozpočet'!F46</f>
        <v>0</v>
      </c>
      <c r="H36" s="17">
        <f>AE36*F36</f>
        <v>0</v>
      </c>
      <c r="I36" s="17">
        <f>AF36*F36</f>
        <v>0</v>
      </c>
      <c r="J36" s="17">
        <f>AE36*F36+AF36*F36</f>
        <v>0</v>
      </c>
      <c r="K36" s="17">
        <f>'Stavební rozpočet'!J46</f>
        <v>0.00066</v>
      </c>
      <c r="L36" s="17">
        <f>K36*F36</f>
        <v>0.00396</v>
      </c>
      <c r="AE36" s="51">
        <f>G36*0.370578378378378</f>
        <v>0</v>
      </c>
      <c r="AF36" s="51">
        <f>G36*(1-0.370578378378378)</f>
        <v>0</v>
      </c>
    </row>
    <row r="37" spans="3:9" ht="12.75">
      <c r="C37" s="42" t="s">
        <v>42</v>
      </c>
      <c r="D37" s="101" t="s">
        <v>132</v>
      </c>
      <c r="E37" s="102"/>
      <c r="F37" s="102"/>
      <c r="G37" s="102"/>
      <c r="H37" s="102"/>
      <c r="I37" s="102"/>
    </row>
    <row r="38" spans="1:12" ht="12.75">
      <c r="A38" s="41" t="s">
        <v>6</v>
      </c>
      <c r="B38" s="41" t="s">
        <v>6</v>
      </c>
      <c r="C38" s="41" t="s">
        <v>67</v>
      </c>
      <c r="D38" s="41" t="s">
        <v>133</v>
      </c>
      <c r="E38" s="41" t="s">
        <v>6</v>
      </c>
      <c r="F38" s="45" t="s">
        <v>6</v>
      </c>
      <c r="G38" s="45" t="s">
        <v>6</v>
      </c>
      <c r="H38" s="37">
        <f>SUM(H39:H41)</f>
        <v>0</v>
      </c>
      <c r="I38" s="49">
        <f>SUM(I39:I41)</f>
        <v>0</v>
      </c>
      <c r="J38" s="49">
        <f>SUM(J39:J41)</f>
        <v>0</v>
      </c>
      <c r="K38" s="45" t="s">
        <v>6</v>
      </c>
      <c r="L38" s="49">
        <f>SUM(L39:L41)</f>
        <v>0.01052</v>
      </c>
    </row>
    <row r="39" spans="1:32" ht="12.75">
      <c r="A39" s="4" t="s">
        <v>25</v>
      </c>
      <c r="B39" s="4"/>
      <c r="C39" s="4" t="s">
        <v>68</v>
      </c>
      <c r="D39" s="4" t="s">
        <v>134</v>
      </c>
      <c r="E39" s="4" t="s">
        <v>178</v>
      </c>
      <c r="F39" s="17">
        <f>'Stavební rozpočet'!E49</f>
        <v>11</v>
      </c>
      <c r="G39" s="17">
        <f>'Stavební rozpočet'!F49</f>
        <v>0</v>
      </c>
      <c r="H39" s="17">
        <f>AE39*F39</f>
        <v>0</v>
      </c>
      <c r="I39" s="17">
        <f>AF39*F39</f>
        <v>0</v>
      </c>
      <c r="J39" s="17">
        <f>AE39*F39+AF39*F39</f>
        <v>0</v>
      </c>
      <c r="K39" s="17">
        <f>'Stavební rozpočet'!J49</f>
        <v>0.0009</v>
      </c>
      <c r="L39" s="17">
        <f>K39*F39</f>
        <v>0.009899999999999999</v>
      </c>
      <c r="AE39" s="51">
        <f>G39*0.11344126984127</f>
        <v>0</v>
      </c>
      <c r="AF39" s="51">
        <f>G39*(1-0.11344126984127)</f>
        <v>0</v>
      </c>
    </row>
    <row r="40" spans="3:9" ht="25.5" customHeight="1">
      <c r="C40" s="42" t="s">
        <v>42</v>
      </c>
      <c r="D40" s="101" t="s">
        <v>135</v>
      </c>
      <c r="E40" s="102"/>
      <c r="F40" s="102"/>
      <c r="G40" s="102"/>
      <c r="H40" s="102"/>
      <c r="I40" s="102"/>
    </row>
    <row r="41" spans="1:32" ht="12.75">
      <c r="A41" s="4" t="s">
        <v>26</v>
      </c>
      <c r="B41" s="4"/>
      <c r="C41" s="4" t="s">
        <v>69</v>
      </c>
      <c r="D41" s="4" t="s">
        <v>136</v>
      </c>
      <c r="E41" s="4" t="s">
        <v>174</v>
      </c>
      <c r="F41" s="17">
        <f>'Stavební rozpočet'!E51</f>
        <v>2</v>
      </c>
      <c r="G41" s="17">
        <f>'Stavební rozpočet'!F51</f>
        <v>0</v>
      </c>
      <c r="H41" s="17">
        <f>AE41*F41</f>
        <v>0</v>
      </c>
      <c r="I41" s="17">
        <f>AF41*F41</f>
        <v>0</v>
      </c>
      <c r="J41" s="17">
        <f>AE41*F41+AF41*F41</f>
        <v>0</v>
      </c>
      <c r="K41" s="17">
        <f>'Stavební rozpočet'!J51</f>
        <v>0.00031</v>
      </c>
      <c r="L41" s="17">
        <f>K41*F41</f>
        <v>0.00062</v>
      </c>
      <c r="AE41" s="51">
        <f>G41*0.0406470588235294</f>
        <v>0</v>
      </c>
      <c r="AF41" s="51">
        <f>G41*(1-0.0406470588235294)</f>
        <v>0</v>
      </c>
    </row>
    <row r="42" spans="3:9" ht="12.75">
      <c r="C42" s="42" t="s">
        <v>42</v>
      </c>
      <c r="D42" s="101" t="s">
        <v>137</v>
      </c>
      <c r="E42" s="102"/>
      <c r="F42" s="102"/>
      <c r="G42" s="102"/>
      <c r="H42" s="102"/>
      <c r="I42" s="102"/>
    </row>
    <row r="43" spans="1:12" ht="12.75">
      <c r="A43" s="41" t="s">
        <v>6</v>
      </c>
      <c r="B43" s="41" t="s">
        <v>6</v>
      </c>
      <c r="C43" s="41" t="s">
        <v>70</v>
      </c>
      <c r="D43" s="41" t="s">
        <v>138</v>
      </c>
      <c r="E43" s="41" t="s">
        <v>6</v>
      </c>
      <c r="F43" s="45" t="s">
        <v>6</v>
      </c>
      <c r="G43" s="45" t="s">
        <v>6</v>
      </c>
      <c r="H43" s="37">
        <f>SUM(H44:H46)</f>
        <v>0</v>
      </c>
      <c r="I43" s="49">
        <f>SUM(I44:I46)</f>
        <v>0</v>
      </c>
      <c r="J43" s="49">
        <f>SUM(J44:J46)</f>
        <v>0</v>
      </c>
      <c r="K43" s="45" t="s">
        <v>6</v>
      </c>
      <c r="L43" s="49">
        <f>SUM(L44:L46)</f>
        <v>0.027872400000000002</v>
      </c>
    </row>
    <row r="44" spans="1:32" ht="12.75">
      <c r="A44" s="4" t="s">
        <v>27</v>
      </c>
      <c r="B44" s="4"/>
      <c r="C44" s="4" t="s">
        <v>71</v>
      </c>
      <c r="D44" s="4" t="s">
        <v>139</v>
      </c>
      <c r="E44" s="4" t="s">
        <v>174</v>
      </c>
      <c r="F44" s="17">
        <f>'Stavební rozpočet'!E54</f>
        <v>26.64</v>
      </c>
      <c r="G44" s="17">
        <f>'Stavební rozpočet'!F54</f>
        <v>0</v>
      </c>
      <c r="H44" s="17">
        <f>AE44*F44</f>
        <v>0</v>
      </c>
      <c r="I44" s="17">
        <f>AF44*F44</f>
        <v>0</v>
      </c>
      <c r="J44" s="17">
        <f>AE44*F44+AF44*F44</f>
        <v>0</v>
      </c>
      <c r="K44" s="17">
        <f>'Stavební rozpočet'!J54</f>
        <v>0.00066</v>
      </c>
      <c r="L44" s="17">
        <f>K44*F44</f>
        <v>0.0175824</v>
      </c>
      <c r="AE44" s="51">
        <f>G44*0.922579034941764</f>
        <v>0</v>
      </c>
      <c r="AF44" s="51">
        <f>G44*(1-0.922579034941764)</f>
        <v>0</v>
      </c>
    </row>
    <row r="45" spans="3:9" ht="12.75">
      <c r="C45" s="42" t="s">
        <v>42</v>
      </c>
      <c r="D45" s="101" t="s">
        <v>140</v>
      </c>
      <c r="E45" s="102"/>
      <c r="F45" s="102"/>
      <c r="G45" s="102"/>
      <c r="H45" s="102"/>
      <c r="I45" s="102"/>
    </row>
    <row r="46" spans="1:32" ht="12.75">
      <c r="A46" s="4" t="s">
        <v>28</v>
      </c>
      <c r="B46" s="4"/>
      <c r="C46" s="4" t="s">
        <v>72</v>
      </c>
      <c r="D46" s="4" t="s">
        <v>141</v>
      </c>
      <c r="E46" s="4" t="s">
        <v>174</v>
      </c>
      <c r="F46" s="17">
        <f>'Stavební rozpočet'!E56</f>
        <v>21</v>
      </c>
      <c r="G46" s="17">
        <f>'Stavební rozpočet'!F56</f>
        <v>0</v>
      </c>
      <c r="H46" s="17">
        <f>AE46*F46</f>
        <v>0</v>
      </c>
      <c r="I46" s="17">
        <f>AF46*F46</f>
        <v>0</v>
      </c>
      <c r="J46" s="17">
        <f>AE46*F46+AF46*F46</f>
        <v>0</v>
      </c>
      <c r="K46" s="17">
        <f>'Stavební rozpočet'!J56</f>
        <v>0.00049</v>
      </c>
      <c r="L46" s="17">
        <f>K46*F46</f>
        <v>0.01029</v>
      </c>
      <c r="AE46" s="51">
        <f>G46*0.457694610778443</f>
        <v>0</v>
      </c>
      <c r="AF46" s="51">
        <f>G46*(1-0.457694610778443)</f>
        <v>0</v>
      </c>
    </row>
    <row r="47" spans="3:9" ht="38.25" customHeight="1">
      <c r="C47" s="42" t="s">
        <v>42</v>
      </c>
      <c r="D47" s="101" t="s">
        <v>142</v>
      </c>
      <c r="E47" s="102"/>
      <c r="F47" s="102"/>
      <c r="G47" s="102"/>
      <c r="H47" s="102"/>
      <c r="I47" s="102"/>
    </row>
    <row r="48" spans="1:12" ht="12.75">
      <c r="A48" s="41" t="s">
        <v>6</v>
      </c>
      <c r="B48" s="41" t="s">
        <v>6</v>
      </c>
      <c r="C48" s="41" t="s">
        <v>73</v>
      </c>
      <c r="D48" s="41" t="s">
        <v>143</v>
      </c>
      <c r="E48" s="41" t="s">
        <v>6</v>
      </c>
      <c r="F48" s="45" t="s">
        <v>6</v>
      </c>
      <c r="G48" s="45" t="s">
        <v>6</v>
      </c>
      <c r="H48" s="37">
        <f>SUM(H49:H49)</f>
        <v>0</v>
      </c>
      <c r="I48" s="49">
        <f>SUM(I49:I49)</f>
        <v>0</v>
      </c>
      <c r="J48" s="49">
        <f>SUM(J49:J49)</f>
        <v>0</v>
      </c>
      <c r="K48" s="45" t="s">
        <v>6</v>
      </c>
      <c r="L48" s="49">
        <f>SUM(L49:L49)</f>
        <v>0</v>
      </c>
    </row>
    <row r="49" spans="1:32" ht="12.75">
      <c r="A49" s="4" t="s">
        <v>29</v>
      </c>
      <c r="B49" s="4"/>
      <c r="C49" s="4" t="s">
        <v>74</v>
      </c>
      <c r="D49" s="4" t="s">
        <v>144</v>
      </c>
      <c r="E49" s="4" t="s">
        <v>177</v>
      </c>
      <c r="F49" s="17">
        <f>'Stavební rozpočet'!E59</f>
        <v>60</v>
      </c>
      <c r="G49" s="17">
        <f>'Stavební rozpočet'!F59</f>
        <v>0</v>
      </c>
      <c r="H49" s="17">
        <f>AE49*F49</f>
        <v>0</v>
      </c>
      <c r="I49" s="17">
        <f>AF49*F49</f>
        <v>0</v>
      </c>
      <c r="J49" s="17">
        <f>AE49*F49+AF49*F49</f>
        <v>0</v>
      </c>
      <c r="K49" s="17">
        <f>'Stavební rozpočet'!J59</f>
        <v>0</v>
      </c>
      <c r="L49" s="17">
        <f>K49*F49</f>
        <v>0</v>
      </c>
      <c r="AE49" s="51">
        <f>G49*0</f>
        <v>0</v>
      </c>
      <c r="AF49" s="51">
        <f>G49*(1-0)</f>
        <v>0</v>
      </c>
    </row>
    <row r="50" spans="1:12" ht="12.75">
      <c r="A50" s="41" t="s">
        <v>6</v>
      </c>
      <c r="B50" s="41" t="s">
        <v>6</v>
      </c>
      <c r="C50" s="41" t="s">
        <v>75</v>
      </c>
      <c r="D50" s="41" t="s">
        <v>145</v>
      </c>
      <c r="E50" s="41" t="s">
        <v>6</v>
      </c>
      <c r="F50" s="45" t="s">
        <v>6</v>
      </c>
      <c r="G50" s="45" t="s">
        <v>6</v>
      </c>
      <c r="H50" s="37">
        <f>SUM(H51:H51)</f>
        <v>0</v>
      </c>
      <c r="I50" s="49">
        <f>SUM(I51:I51)</f>
        <v>0</v>
      </c>
      <c r="J50" s="49">
        <f>SUM(J51:J51)</f>
        <v>0</v>
      </c>
      <c r="K50" s="45" t="s">
        <v>6</v>
      </c>
      <c r="L50" s="49">
        <f>SUM(L51:L51)</f>
        <v>0</v>
      </c>
    </row>
    <row r="51" spans="1:32" ht="12.75">
      <c r="A51" s="4" t="s">
        <v>30</v>
      </c>
      <c r="B51" s="4"/>
      <c r="C51" s="4" t="s">
        <v>76</v>
      </c>
      <c r="D51" s="4" t="s">
        <v>146</v>
      </c>
      <c r="E51" s="4" t="s">
        <v>179</v>
      </c>
      <c r="F51" s="17">
        <f>'Stavební rozpočet'!E61</f>
        <v>50</v>
      </c>
      <c r="G51" s="17">
        <f>'Stavební rozpočet'!F61</f>
        <v>0</v>
      </c>
      <c r="H51" s="17">
        <f>AE51*F51</f>
        <v>0</v>
      </c>
      <c r="I51" s="17">
        <f>AF51*F51</f>
        <v>0</v>
      </c>
      <c r="J51" s="17">
        <f>AE51*F51+AF51*F51</f>
        <v>0</v>
      </c>
      <c r="K51" s="17">
        <f>'Stavební rozpočet'!J61</f>
        <v>0</v>
      </c>
      <c r="L51" s="17">
        <f>K51*F51</f>
        <v>0</v>
      </c>
      <c r="AE51" s="51">
        <f>G51*0</f>
        <v>0</v>
      </c>
      <c r="AF51" s="51">
        <f>G51*(1-0)</f>
        <v>0</v>
      </c>
    </row>
    <row r="52" spans="3:9" ht="12.75">
      <c r="C52" s="42" t="s">
        <v>42</v>
      </c>
      <c r="D52" s="101" t="s">
        <v>147</v>
      </c>
      <c r="E52" s="102"/>
      <c r="F52" s="102"/>
      <c r="G52" s="102"/>
      <c r="H52" s="102"/>
      <c r="I52" s="102"/>
    </row>
    <row r="53" spans="1:12" ht="12.75">
      <c r="A53" s="41" t="s">
        <v>6</v>
      </c>
      <c r="B53" s="41" t="s">
        <v>6</v>
      </c>
      <c r="C53" s="41" t="s">
        <v>77</v>
      </c>
      <c r="D53" s="41" t="s">
        <v>148</v>
      </c>
      <c r="E53" s="41" t="s">
        <v>6</v>
      </c>
      <c r="F53" s="45" t="s">
        <v>6</v>
      </c>
      <c r="G53" s="45" t="s">
        <v>6</v>
      </c>
      <c r="H53" s="37">
        <f>SUM(H54:H57)</f>
        <v>0</v>
      </c>
      <c r="I53" s="49">
        <f>SUM(I54:I57)</f>
        <v>0</v>
      </c>
      <c r="J53" s="49">
        <f>SUM(J54:J57)</f>
        <v>0</v>
      </c>
      <c r="K53" s="45" t="s">
        <v>6</v>
      </c>
      <c r="L53" s="49">
        <f>SUM(L54:L57)</f>
        <v>12.349200000000002</v>
      </c>
    </row>
    <row r="54" spans="1:32" ht="12.75">
      <c r="A54" s="4" t="s">
        <v>31</v>
      </c>
      <c r="B54" s="4"/>
      <c r="C54" s="4" t="s">
        <v>78</v>
      </c>
      <c r="D54" s="4" t="s">
        <v>149</v>
      </c>
      <c r="E54" s="4" t="s">
        <v>174</v>
      </c>
      <c r="F54" s="17">
        <f>'Stavební rozpočet'!E64</f>
        <v>615</v>
      </c>
      <c r="G54" s="17">
        <f>'Stavební rozpočet'!F64</f>
        <v>0</v>
      </c>
      <c r="H54" s="17">
        <f>AE54*F54</f>
        <v>0</v>
      </c>
      <c r="I54" s="17">
        <f>AF54*F54</f>
        <v>0</v>
      </c>
      <c r="J54" s="17">
        <f>AE54*F54+AF54*F54</f>
        <v>0</v>
      </c>
      <c r="K54" s="17">
        <f>'Stavební rozpočet'!J64</f>
        <v>0.01838</v>
      </c>
      <c r="L54" s="17">
        <f>K54*F54</f>
        <v>11.303700000000001</v>
      </c>
      <c r="AE54" s="51">
        <f>G54*0.000476303881876637</f>
        <v>0</v>
      </c>
      <c r="AF54" s="51">
        <f>G54*(1-0.000476303881876637)</f>
        <v>0</v>
      </c>
    </row>
    <row r="55" spans="1:32" ht="12.75">
      <c r="A55" s="4" t="s">
        <v>32</v>
      </c>
      <c r="B55" s="4"/>
      <c r="C55" s="4" t="s">
        <v>79</v>
      </c>
      <c r="D55" s="4" t="s">
        <v>150</v>
      </c>
      <c r="E55" s="4" t="s">
        <v>174</v>
      </c>
      <c r="F55" s="17">
        <f>'Stavební rozpočet'!E65</f>
        <v>1230</v>
      </c>
      <c r="G55" s="17">
        <f>'Stavební rozpočet'!F65</f>
        <v>0</v>
      </c>
      <c r="H55" s="17">
        <f>AE55*F55</f>
        <v>0</v>
      </c>
      <c r="I55" s="17">
        <f>AF55*F55</f>
        <v>0</v>
      </c>
      <c r="J55" s="17">
        <f>AE55*F55+AF55*F55</f>
        <v>0</v>
      </c>
      <c r="K55" s="17">
        <f>'Stavební rozpočet'!J65</f>
        <v>0.00085</v>
      </c>
      <c r="L55" s="17">
        <f>K55*F55</f>
        <v>1.0454999999999999</v>
      </c>
      <c r="AE55" s="51">
        <f>G55*0.950798722044728</f>
        <v>0</v>
      </c>
      <c r="AF55" s="51">
        <f>G55*(1-0.950798722044728)</f>
        <v>0</v>
      </c>
    </row>
    <row r="56" spans="3:9" ht="25.5" customHeight="1">
      <c r="C56" s="42" t="s">
        <v>42</v>
      </c>
      <c r="D56" s="101" t="s">
        <v>151</v>
      </c>
      <c r="E56" s="102"/>
      <c r="F56" s="102"/>
      <c r="G56" s="102"/>
      <c r="H56" s="102"/>
      <c r="I56" s="102"/>
    </row>
    <row r="57" spans="1:32" ht="12.75">
      <c r="A57" s="4" t="s">
        <v>33</v>
      </c>
      <c r="B57" s="4"/>
      <c r="C57" s="4" t="s">
        <v>80</v>
      </c>
      <c r="D57" s="4" t="s">
        <v>152</v>
      </c>
      <c r="E57" s="4" t="s">
        <v>174</v>
      </c>
      <c r="F57" s="17">
        <f>'Stavební rozpočet'!E67</f>
        <v>615</v>
      </c>
      <c r="G57" s="17">
        <f>'Stavební rozpočet'!F67</f>
        <v>0</v>
      </c>
      <c r="H57" s="17">
        <f>AE57*F57</f>
        <v>0</v>
      </c>
      <c r="I57" s="17">
        <f>AF57*F57</f>
        <v>0</v>
      </c>
      <c r="J57" s="17">
        <f>AE57*F57+AF57*F57</f>
        <v>0</v>
      </c>
      <c r="K57" s="17">
        <f>'Stavební rozpočet'!J67</f>
        <v>0</v>
      </c>
      <c r="L57" s="17">
        <f>K57*F57</f>
        <v>0</v>
      </c>
      <c r="AE57" s="51">
        <f>G57*0</f>
        <v>0</v>
      </c>
      <c r="AF57" s="51">
        <f>G57*(1-0)</f>
        <v>0</v>
      </c>
    </row>
    <row r="58" spans="1:12" ht="12.75">
      <c r="A58" s="41" t="s">
        <v>6</v>
      </c>
      <c r="B58" s="41" t="s">
        <v>6</v>
      </c>
      <c r="C58" s="41" t="s">
        <v>81</v>
      </c>
      <c r="D58" s="41" t="s">
        <v>153</v>
      </c>
      <c r="E58" s="41" t="s">
        <v>6</v>
      </c>
      <c r="F58" s="45" t="s">
        <v>6</v>
      </c>
      <c r="G58" s="45" t="s">
        <v>6</v>
      </c>
      <c r="H58" s="37">
        <f>SUM(H59:H59)</f>
        <v>0</v>
      </c>
      <c r="I58" s="49">
        <f>SUM(I59:I59)</f>
        <v>0</v>
      </c>
      <c r="J58" s="49">
        <f>SUM(J59:J59)</f>
        <v>0</v>
      </c>
      <c r="K58" s="45" t="s">
        <v>6</v>
      </c>
      <c r="L58" s="49">
        <f>SUM(L59:L59)</f>
        <v>0.4299483</v>
      </c>
    </row>
    <row r="59" spans="1:32" ht="12.75">
      <c r="A59" s="4" t="s">
        <v>34</v>
      </c>
      <c r="B59" s="4"/>
      <c r="C59" s="4" t="s">
        <v>82</v>
      </c>
      <c r="D59" s="4" t="s">
        <v>154</v>
      </c>
      <c r="E59" s="4" t="s">
        <v>174</v>
      </c>
      <c r="F59" s="17">
        <f>'Stavební rozpočet'!E69</f>
        <v>5.57</v>
      </c>
      <c r="G59" s="17">
        <f>'Stavební rozpočet'!F69</f>
        <v>0</v>
      </c>
      <c r="H59" s="17">
        <f>AE59*F59</f>
        <v>0</v>
      </c>
      <c r="I59" s="17">
        <f>AF59*F59</f>
        <v>0</v>
      </c>
      <c r="J59" s="17">
        <f>AE59*F59+AF59*F59</f>
        <v>0</v>
      </c>
      <c r="K59" s="17">
        <f>'Stavební rozpočet'!J69</f>
        <v>0.07719</v>
      </c>
      <c r="L59" s="17">
        <f>K59*F59</f>
        <v>0.4299483</v>
      </c>
      <c r="AE59" s="51">
        <f>G59*0.183809289059474</f>
        <v>0</v>
      </c>
      <c r="AF59" s="51">
        <f>G59*(1-0.183809289059474)</f>
        <v>0</v>
      </c>
    </row>
    <row r="60" spans="1:12" ht="12.75">
      <c r="A60" s="41" t="s">
        <v>6</v>
      </c>
      <c r="B60" s="41" t="s">
        <v>6</v>
      </c>
      <c r="C60" s="41" t="s">
        <v>83</v>
      </c>
      <c r="D60" s="41" t="s">
        <v>155</v>
      </c>
      <c r="E60" s="41" t="s">
        <v>6</v>
      </c>
      <c r="F60" s="45" t="s">
        <v>6</v>
      </c>
      <c r="G60" s="45" t="s">
        <v>6</v>
      </c>
      <c r="H60" s="37">
        <f>SUM(H61:H65)</f>
        <v>0</v>
      </c>
      <c r="I60" s="49">
        <f>SUM(I61:I65)</f>
        <v>0</v>
      </c>
      <c r="J60" s="49">
        <f>SUM(J61:J65)</f>
        <v>0</v>
      </c>
      <c r="K60" s="45" t="s">
        <v>6</v>
      </c>
      <c r="L60" s="49">
        <f>SUM(L61:L65)</f>
        <v>46.004999999999995</v>
      </c>
    </row>
    <row r="61" spans="1:32" ht="12.75">
      <c r="A61" s="4" t="s">
        <v>35</v>
      </c>
      <c r="B61" s="4"/>
      <c r="C61" s="4" t="s">
        <v>84</v>
      </c>
      <c r="D61" s="4" t="s">
        <v>156</v>
      </c>
      <c r="E61" s="4" t="s">
        <v>174</v>
      </c>
      <c r="F61" s="17">
        <f>'Stavební rozpočet'!E71</f>
        <v>630</v>
      </c>
      <c r="G61" s="17">
        <f>'Stavební rozpočet'!F71</f>
        <v>0</v>
      </c>
      <c r="H61" s="17">
        <f>AE61*F61</f>
        <v>0</v>
      </c>
      <c r="I61" s="17">
        <f>AF61*F61</f>
        <v>0</v>
      </c>
      <c r="J61" s="17">
        <f>AE61*F61+AF61*F61</f>
        <v>0</v>
      </c>
      <c r="K61" s="17">
        <f>'Stavební rozpočet'!J71</f>
        <v>0.059</v>
      </c>
      <c r="L61" s="17">
        <f>K61*F61</f>
        <v>37.169999999999995</v>
      </c>
      <c r="AE61" s="51">
        <f>G61*0</f>
        <v>0</v>
      </c>
      <c r="AF61" s="51">
        <f>G61*(1-0)</f>
        <v>0</v>
      </c>
    </row>
    <row r="62" spans="3:9" ht="12.75">
      <c r="C62" s="42" t="s">
        <v>42</v>
      </c>
      <c r="D62" s="101" t="s">
        <v>157</v>
      </c>
      <c r="E62" s="102"/>
      <c r="F62" s="102"/>
      <c r="G62" s="102"/>
      <c r="H62" s="102"/>
      <c r="I62" s="102"/>
    </row>
    <row r="63" spans="1:32" ht="12.75">
      <c r="A63" s="4" t="s">
        <v>36</v>
      </c>
      <c r="B63" s="4"/>
      <c r="C63" s="4" t="s">
        <v>85</v>
      </c>
      <c r="D63" s="4" t="s">
        <v>158</v>
      </c>
      <c r="E63" s="4" t="s">
        <v>174</v>
      </c>
      <c r="F63" s="17">
        <f>'Stavební rozpočet'!E73</f>
        <v>630</v>
      </c>
      <c r="G63" s="17">
        <f>'Stavební rozpočet'!F73</f>
        <v>0</v>
      </c>
      <c r="H63" s="17">
        <f>AE63*F63</f>
        <v>0</v>
      </c>
      <c r="I63" s="17">
        <f>AF63*F63</f>
        <v>0</v>
      </c>
      <c r="J63" s="17">
        <f>AE63*F63+AF63*F63</f>
        <v>0</v>
      </c>
      <c r="K63" s="17">
        <f>'Stavební rozpočet'!J73</f>
        <v>0.014</v>
      </c>
      <c r="L63" s="17">
        <f>K63*F63</f>
        <v>8.82</v>
      </c>
      <c r="AE63" s="51">
        <f>G63*0</f>
        <v>0</v>
      </c>
      <c r="AF63" s="51">
        <f>G63*(1-0)</f>
        <v>0</v>
      </c>
    </row>
    <row r="64" spans="3:9" ht="12.75">
      <c r="C64" s="42" t="s">
        <v>42</v>
      </c>
      <c r="D64" s="101" t="s">
        <v>159</v>
      </c>
      <c r="E64" s="102"/>
      <c r="F64" s="102"/>
      <c r="G64" s="102"/>
      <c r="H64" s="102"/>
      <c r="I64" s="102"/>
    </row>
    <row r="65" spans="1:32" ht="12.75">
      <c r="A65" s="4" t="s">
        <v>37</v>
      </c>
      <c r="B65" s="4"/>
      <c r="C65" s="4" t="s">
        <v>86</v>
      </c>
      <c r="D65" s="4" t="s">
        <v>160</v>
      </c>
      <c r="E65" s="4" t="s">
        <v>178</v>
      </c>
      <c r="F65" s="17">
        <f>'Stavební rozpočet'!E75</f>
        <v>15</v>
      </c>
      <c r="G65" s="17">
        <f>'Stavební rozpočet'!F75</f>
        <v>0</v>
      </c>
      <c r="H65" s="17">
        <f>AE65*F65</f>
        <v>0</v>
      </c>
      <c r="I65" s="17">
        <f>AF65*F65</f>
        <v>0</v>
      </c>
      <c r="J65" s="17">
        <f>AE65*F65+AF65*F65</f>
        <v>0</v>
      </c>
      <c r="K65" s="17">
        <f>'Stavební rozpočet'!J75</f>
        <v>0.001</v>
      </c>
      <c r="L65" s="17">
        <f>K65*F65</f>
        <v>0.015</v>
      </c>
      <c r="AE65" s="51">
        <f>G65*0</f>
        <v>0</v>
      </c>
      <c r="AF65" s="51">
        <f>G65*(1-0)</f>
        <v>0</v>
      </c>
    </row>
    <row r="66" spans="1:12" ht="12.75">
      <c r="A66" s="41" t="s">
        <v>6</v>
      </c>
      <c r="B66" s="41" t="s">
        <v>6</v>
      </c>
      <c r="C66" s="41" t="s">
        <v>87</v>
      </c>
      <c r="D66" s="41" t="s">
        <v>161</v>
      </c>
      <c r="E66" s="41" t="s">
        <v>6</v>
      </c>
      <c r="F66" s="45" t="s">
        <v>6</v>
      </c>
      <c r="G66" s="45" t="s">
        <v>6</v>
      </c>
      <c r="H66" s="37">
        <f>SUM(H67:H67)</f>
        <v>0</v>
      </c>
      <c r="I66" s="49">
        <f>SUM(I67:I67)</f>
        <v>0</v>
      </c>
      <c r="J66" s="49">
        <f>SUM(J67:J67)</f>
        <v>0</v>
      </c>
      <c r="K66" s="45" t="s">
        <v>6</v>
      </c>
      <c r="L66" s="49">
        <f>SUM(L67:L67)</f>
        <v>0</v>
      </c>
    </row>
    <row r="67" spans="1:32" ht="12.75">
      <c r="A67" s="4" t="s">
        <v>38</v>
      </c>
      <c r="B67" s="4"/>
      <c r="C67" s="4" t="s">
        <v>88</v>
      </c>
      <c r="D67" s="4" t="s">
        <v>162</v>
      </c>
      <c r="E67" s="4" t="s">
        <v>180</v>
      </c>
      <c r="F67" s="17">
        <f>'Stavební rozpočet'!E77</f>
        <v>71.5664</v>
      </c>
      <c r="G67" s="17">
        <f>'Stavební rozpočet'!F77</f>
        <v>0</v>
      </c>
      <c r="H67" s="17">
        <f>AE67*F67</f>
        <v>0</v>
      </c>
      <c r="I67" s="17">
        <f>AF67*F67</f>
        <v>0</v>
      </c>
      <c r="J67" s="17">
        <f>AE67*F67+AF67*F67</f>
        <v>0</v>
      </c>
      <c r="K67" s="17">
        <f>'Stavební rozpočet'!J77</f>
        <v>0</v>
      </c>
      <c r="L67" s="17">
        <f>K67*F67</f>
        <v>0</v>
      </c>
      <c r="AE67" s="51">
        <f>G67*0.00993220338983051</f>
        <v>0</v>
      </c>
      <c r="AF67" s="51">
        <f>G67*(1-0.00993220338983051)</f>
        <v>0</v>
      </c>
    </row>
    <row r="68" spans="3:9" ht="12.75">
      <c r="C68" s="42" t="s">
        <v>42</v>
      </c>
      <c r="D68" s="101" t="s">
        <v>163</v>
      </c>
      <c r="E68" s="102"/>
      <c r="F68" s="102"/>
      <c r="G68" s="102"/>
      <c r="H68" s="102"/>
      <c r="I68" s="102"/>
    </row>
    <row r="69" spans="1:12" ht="12.75">
      <c r="A69" s="41" t="s">
        <v>6</v>
      </c>
      <c r="B69" s="41" t="s">
        <v>6</v>
      </c>
      <c r="C69" s="41"/>
      <c r="D69" s="41" t="s">
        <v>164</v>
      </c>
      <c r="E69" s="41" t="s">
        <v>6</v>
      </c>
      <c r="F69" s="45" t="s">
        <v>6</v>
      </c>
      <c r="G69" s="45" t="s">
        <v>6</v>
      </c>
      <c r="H69" s="37">
        <f>SUM(H70:H73)</f>
        <v>0</v>
      </c>
      <c r="I69" s="37">
        <f>SUM(I70:I73)</f>
        <v>0</v>
      </c>
      <c r="J69" s="37">
        <f>SUM(J70:J73)</f>
        <v>0</v>
      </c>
      <c r="K69" s="45" t="s">
        <v>6</v>
      </c>
      <c r="L69" s="37">
        <f>SUM(L70:L73)</f>
        <v>22.53168</v>
      </c>
    </row>
    <row r="70" spans="1:32" ht="12.75">
      <c r="A70" s="6" t="s">
        <v>39</v>
      </c>
      <c r="B70" s="6"/>
      <c r="C70" s="6" t="s">
        <v>89</v>
      </c>
      <c r="D70" s="6" t="s">
        <v>165</v>
      </c>
      <c r="E70" s="6" t="s">
        <v>177</v>
      </c>
      <c r="F70" s="18">
        <f>'Stavební rozpočet'!E80</f>
        <v>66</v>
      </c>
      <c r="G70" s="18">
        <f>'Stavební rozpočet'!F80</f>
        <v>0</v>
      </c>
      <c r="H70" s="18">
        <f>AE70*F70</f>
        <v>0</v>
      </c>
      <c r="I70" s="18">
        <f>AF70*F70</f>
        <v>0</v>
      </c>
      <c r="J70" s="18">
        <f>AE70*F70+AF70*F70</f>
        <v>0</v>
      </c>
      <c r="K70" s="18">
        <f>'Stavební rozpočet'!J80</f>
        <v>0.00048</v>
      </c>
      <c r="L70" s="18">
        <f>K70*F70</f>
        <v>0.03168</v>
      </c>
      <c r="AE70" s="52">
        <f>G70*1</f>
        <v>0</v>
      </c>
      <c r="AF70" s="52">
        <f>G70*(1-1)</f>
        <v>0</v>
      </c>
    </row>
    <row r="71" spans="1:32" ht="12.75">
      <c r="A71" s="6" t="s">
        <v>40</v>
      </c>
      <c r="B71" s="6"/>
      <c r="C71" s="6" t="s">
        <v>90</v>
      </c>
      <c r="D71" s="6" t="s">
        <v>166</v>
      </c>
      <c r="E71" s="6" t="s">
        <v>181</v>
      </c>
      <c r="F71" s="18">
        <f>'Stavební rozpočet'!E81</f>
        <v>22.5</v>
      </c>
      <c r="G71" s="18">
        <f>'Stavební rozpočet'!F81</f>
        <v>0</v>
      </c>
      <c r="H71" s="18">
        <f>AE71*F71</f>
        <v>0</v>
      </c>
      <c r="I71" s="18">
        <f>AF71*F71</f>
        <v>0</v>
      </c>
      <c r="J71" s="18">
        <f>AE71*F71+AF71*F71</f>
        <v>0</v>
      </c>
      <c r="K71" s="18">
        <f>'Stavební rozpočet'!J81</f>
        <v>1</v>
      </c>
      <c r="L71" s="18">
        <f>K71*F71</f>
        <v>22.5</v>
      </c>
      <c r="AE71" s="52">
        <f>G71*1</f>
        <v>0</v>
      </c>
      <c r="AF71" s="52">
        <f>G71*(1-1)</f>
        <v>0</v>
      </c>
    </row>
    <row r="72" spans="3:9" ht="25.5" customHeight="1">
      <c r="C72" s="43" t="s">
        <v>42</v>
      </c>
      <c r="D72" s="103" t="s">
        <v>167</v>
      </c>
      <c r="E72" s="104"/>
      <c r="F72" s="104"/>
      <c r="G72" s="104"/>
      <c r="H72" s="104"/>
      <c r="I72" s="104"/>
    </row>
    <row r="73" spans="1:32" ht="12.75">
      <c r="A73" s="4" t="s">
        <v>41</v>
      </c>
      <c r="B73" s="4"/>
      <c r="C73" s="4" t="s">
        <v>91</v>
      </c>
      <c r="D73" s="4" t="s">
        <v>168</v>
      </c>
      <c r="E73" s="4" t="s">
        <v>180</v>
      </c>
      <c r="F73" s="17">
        <f>'Stavební rozpočet'!E83</f>
        <v>108.70773</v>
      </c>
      <c r="G73" s="17">
        <f>'Stavební rozpočet'!F83</f>
        <v>0</v>
      </c>
      <c r="H73" s="17">
        <f>AE73*F73</f>
        <v>0</v>
      </c>
      <c r="I73" s="17">
        <f>AF73*F73</f>
        <v>0</v>
      </c>
      <c r="J73" s="17">
        <f>AE73*F73+AF73*F73</f>
        <v>0</v>
      </c>
      <c r="K73" s="17">
        <f>'Stavební rozpočet'!J83</f>
        <v>0</v>
      </c>
      <c r="L73" s="17">
        <f>K73*F73</f>
        <v>0</v>
      </c>
      <c r="AE73" s="51">
        <f>G73*0</f>
        <v>0</v>
      </c>
      <c r="AF73" s="51">
        <f>G73*(1-0)</f>
        <v>0</v>
      </c>
    </row>
    <row r="75" spans="9:10" ht="12.75">
      <c r="I75" s="46" t="s">
        <v>187</v>
      </c>
      <c r="J75" s="50">
        <f>J2+J4+J7+J10+J12+J14+J31+J34+J38+J43+J48+J50+J53+J58+J60+J66+J69</f>
        <v>0</v>
      </c>
    </row>
  </sheetData>
  <sheetProtection/>
  <mergeCells count="20">
    <mergeCell ref="D68:I68"/>
    <mergeCell ref="D72:I72"/>
    <mergeCell ref="D45:I45"/>
    <mergeCell ref="D47:I47"/>
    <mergeCell ref="D52:I52"/>
    <mergeCell ref="D56:I56"/>
    <mergeCell ref="D62:I62"/>
    <mergeCell ref="D64:I64"/>
    <mergeCell ref="D25:I25"/>
    <mergeCell ref="D27:I27"/>
    <mergeCell ref="D33:I33"/>
    <mergeCell ref="D37:I37"/>
    <mergeCell ref="D40:I40"/>
    <mergeCell ref="D42:I42"/>
    <mergeCell ref="D6:I6"/>
    <mergeCell ref="D9:I9"/>
    <mergeCell ref="D16:I16"/>
    <mergeCell ref="D18:I18"/>
    <mergeCell ref="D21:I21"/>
    <mergeCell ref="D23:I2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0"/>
      <c r="B1" s="53"/>
      <c r="C1" s="105" t="s">
        <v>256</v>
      </c>
      <c r="D1" s="106"/>
      <c r="E1" s="106"/>
      <c r="F1" s="106"/>
      <c r="G1" s="106"/>
      <c r="H1" s="106"/>
      <c r="I1" s="106"/>
    </row>
    <row r="2" spans="1:10" ht="12.75">
      <c r="A2" s="73" t="s">
        <v>1</v>
      </c>
      <c r="B2" s="74"/>
      <c r="C2" s="77" t="s">
        <v>92</v>
      </c>
      <c r="D2" s="100"/>
      <c r="E2" s="80" t="s">
        <v>188</v>
      </c>
      <c r="F2" s="80"/>
      <c r="G2" s="74"/>
      <c r="H2" s="80" t="s">
        <v>281</v>
      </c>
      <c r="I2" s="107"/>
      <c r="J2" s="32"/>
    </row>
    <row r="3" spans="1:10" ht="12.75">
      <c r="A3" s="75"/>
      <c r="B3" s="76"/>
      <c r="C3" s="78"/>
      <c r="D3" s="78"/>
      <c r="E3" s="76"/>
      <c r="F3" s="76"/>
      <c r="G3" s="76"/>
      <c r="H3" s="76"/>
      <c r="I3" s="82"/>
      <c r="J3" s="32"/>
    </row>
    <row r="4" spans="1:10" ht="12.75">
      <c r="A4" s="83" t="s">
        <v>2</v>
      </c>
      <c r="B4" s="76"/>
      <c r="C4" s="84" t="s">
        <v>93</v>
      </c>
      <c r="D4" s="76"/>
      <c r="E4" s="84" t="s">
        <v>189</v>
      </c>
      <c r="F4" s="84"/>
      <c r="G4" s="76"/>
      <c r="H4" s="84" t="s">
        <v>281</v>
      </c>
      <c r="I4" s="108"/>
      <c r="J4" s="32"/>
    </row>
    <row r="5" spans="1:10" ht="12.75">
      <c r="A5" s="75"/>
      <c r="B5" s="76"/>
      <c r="C5" s="76"/>
      <c r="D5" s="76"/>
      <c r="E5" s="76"/>
      <c r="F5" s="76"/>
      <c r="G5" s="76"/>
      <c r="H5" s="76"/>
      <c r="I5" s="82"/>
      <c r="J5" s="32"/>
    </row>
    <row r="6" spans="1:10" ht="12.75">
      <c r="A6" s="83" t="s">
        <v>3</v>
      </c>
      <c r="B6" s="76"/>
      <c r="C6" s="84" t="s">
        <v>94</v>
      </c>
      <c r="D6" s="76"/>
      <c r="E6" s="84" t="s">
        <v>190</v>
      </c>
      <c r="F6" s="84"/>
      <c r="G6" s="76"/>
      <c r="H6" s="84" t="s">
        <v>281</v>
      </c>
      <c r="I6" s="108"/>
      <c r="J6" s="32"/>
    </row>
    <row r="7" spans="1:10" ht="12.75">
      <c r="A7" s="75"/>
      <c r="B7" s="76"/>
      <c r="C7" s="76"/>
      <c r="D7" s="76"/>
      <c r="E7" s="76"/>
      <c r="F7" s="76"/>
      <c r="G7" s="76"/>
      <c r="H7" s="76"/>
      <c r="I7" s="82"/>
      <c r="J7" s="32"/>
    </row>
    <row r="8" spans="1:10" ht="12.75">
      <c r="A8" s="83" t="s">
        <v>170</v>
      </c>
      <c r="B8" s="76"/>
      <c r="C8" s="85" t="s">
        <v>6</v>
      </c>
      <c r="D8" s="76"/>
      <c r="E8" s="84" t="s">
        <v>171</v>
      </c>
      <c r="F8" s="76"/>
      <c r="G8" s="76"/>
      <c r="H8" s="85" t="s">
        <v>282</v>
      </c>
      <c r="I8" s="108" t="s">
        <v>41</v>
      </c>
      <c r="J8" s="32"/>
    </row>
    <row r="9" spans="1:10" ht="12.75">
      <c r="A9" s="75"/>
      <c r="B9" s="76"/>
      <c r="C9" s="76"/>
      <c r="D9" s="76"/>
      <c r="E9" s="76"/>
      <c r="F9" s="76"/>
      <c r="G9" s="76"/>
      <c r="H9" s="76"/>
      <c r="I9" s="82"/>
      <c r="J9" s="32"/>
    </row>
    <row r="10" spans="1:10" ht="12.75">
      <c r="A10" s="83" t="s">
        <v>4</v>
      </c>
      <c r="B10" s="76"/>
      <c r="C10" s="84">
        <v>8035919</v>
      </c>
      <c r="D10" s="76"/>
      <c r="E10" s="84" t="s">
        <v>191</v>
      </c>
      <c r="F10" s="84" t="s">
        <v>193</v>
      </c>
      <c r="G10" s="76"/>
      <c r="H10" s="85" t="s">
        <v>283</v>
      </c>
      <c r="I10" s="111">
        <v>41898</v>
      </c>
      <c r="J10" s="32"/>
    </row>
    <row r="11" spans="1:10" ht="12.75">
      <c r="A11" s="109"/>
      <c r="B11" s="110"/>
      <c r="C11" s="110"/>
      <c r="D11" s="110"/>
      <c r="E11" s="110"/>
      <c r="F11" s="110"/>
      <c r="G11" s="110"/>
      <c r="H11" s="110"/>
      <c r="I11" s="112"/>
      <c r="J11" s="32"/>
    </row>
    <row r="12" spans="1:9" ht="23.25" customHeight="1">
      <c r="A12" s="113" t="s">
        <v>242</v>
      </c>
      <c r="B12" s="114"/>
      <c r="C12" s="114"/>
      <c r="D12" s="114"/>
      <c r="E12" s="114"/>
      <c r="F12" s="114"/>
      <c r="G12" s="114"/>
      <c r="H12" s="114"/>
      <c r="I12" s="114"/>
    </row>
    <row r="13" spans="1:10" ht="26.25" customHeight="1">
      <c r="A13" s="54" t="s">
        <v>243</v>
      </c>
      <c r="B13" s="115" t="s">
        <v>254</v>
      </c>
      <c r="C13" s="116"/>
      <c r="D13" s="54" t="s">
        <v>257</v>
      </c>
      <c r="E13" s="115" t="s">
        <v>266</v>
      </c>
      <c r="F13" s="116"/>
      <c r="G13" s="54" t="s">
        <v>267</v>
      </c>
      <c r="H13" s="115" t="s">
        <v>284</v>
      </c>
      <c r="I13" s="116"/>
      <c r="J13" s="32"/>
    </row>
    <row r="14" spans="1:10" ht="15" customHeight="1">
      <c r="A14" s="55" t="s">
        <v>244</v>
      </c>
      <c r="B14" s="59" t="s">
        <v>255</v>
      </c>
      <c r="C14" s="63">
        <f>SUM('Stavební rozpočet'!R12:R83)</f>
        <v>0</v>
      </c>
      <c r="D14" s="117" t="s">
        <v>258</v>
      </c>
      <c r="E14" s="118"/>
      <c r="F14" s="63">
        <v>0</v>
      </c>
      <c r="G14" s="117" t="s">
        <v>268</v>
      </c>
      <c r="H14" s="118"/>
      <c r="I14" s="63">
        <v>0</v>
      </c>
      <c r="J14" s="32"/>
    </row>
    <row r="15" spans="1:10" ht="15" customHeight="1">
      <c r="A15" s="56"/>
      <c r="B15" s="59" t="s">
        <v>192</v>
      </c>
      <c r="C15" s="63">
        <f>SUM('Stavební rozpočet'!S12:S83)</f>
        <v>0</v>
      </c>
      <c r="D15" s="117" t="s">
        <v>259</v>
      </c>
      <c r="E15" s="118"/>
      <c r="F15" s="63">
        <v>0</v>
      </c>
      <c r="G15" s="117" t="s">
        <v>269</v>
      </c>
      <c r="H15" s="118"/>
      <c r="I15" s="63">
        <v>0</v>
      </c>
      <c r="J15" s="32"/>
    </row>
    <row r="16" spans="1:10" ht="15" customHeight="1">
      <c r="A16" s="55" t="s">
        <v>245</v>
      </c>
      <c r="B16" s="59" t="s">
        <v>255</v>
      </c>
      <c r="C16" s="63">
        <f>SUM('Stavební rozpočet'!T12:T83)</f>
        <v>0</v>
      </c>
      <c r="D16" s="117" t="s">
        <v>260</v>
      </c>
      <c r="E16" s="118"/>
      <c r="F16" s="63">
        <v>0</v>
      </c>
      <c r="G16" s="117" t="s">
        <v>270</v>
      </c>
      <c r="H16" s="118"/>
      <c r="I16" s="63">
        <v>0</v>
      </c>
      <c r="J16" s="32"/>
    </row>
    <row r="17" spans="1:10" ht="15" customHeight="1">
      <c r="A17" s="56"/>
      <c r="B17" s="59" t="s">
        <v>192</v>
      </c>
      <c r="C17" s="63">
        <f>SUM('Stavební rozpočet'!U12:U83)</f>
        <v>0</v>
      </c>
      <c r="D17" s="117"/>
      <c r="E17" s="118"/>
      <c r="F17" s="64"/>
      <c r="G17" s="117" t="s">
        <v>271</v>
      </c>
      <c r="H17" s="118"/>
      <c r="I17" s="63">
        <v>0</v>
      </c>
      <c r="J17" s="32"/>
    </row>
    <row r="18" spans="1:10" ht="15" customHeight="1">
      <c r="A18" s="55" t="s">
        <v>246</v>
      </c>
      <c r="B18" s="59" t="s">
        <v>255</v>
      </c>
      <c r="C18" s="63">
        <f>SUM('Stavební rozpočet'!V12:V83)</f>
        <v>0</v>
      </c>
      <c r="D18" s="117"/>
      <c r="E18" s="118"/>
      <c r="F18" s="64"/>
      <c r="G18" s="117" t="s">
        <v>272</v>
      </c>
      <c r="H18" s="118"/>
      <c r="I18" s="63">
        <v>0</v>
      </c>
      <c r="J18" s="32"/>
    </row>
    <row r="19" spans="1:10" ht="15" customHeight="1">
      <c r="A19" s="56"/>
      <c r="B19" s="59" t="s">
        <v>192</v>
      </c>
      <c r="C19" s="63">
        <f>SUM('Stavební rozpočet'!W12:W83)</f>
        <v>0</v>
      </c>
      <c r="D19" s="117"/>
      <c r="E19" s="118"/>
      <c r="F19" s="64"/>
      <c r="G19" s="117" t="s">
        <v>273</v>
      </c>
      <c r="H19" s="118"/>
      <c r="I19" s="63">
        <v>0</v>
      </c>
      <c r="J19" s="32"/>
    </row>
    <row r="20" spans="1:10" ht="15" customHeight="1">
      <c r="A20" s="119" t="s">
        <v>164</v>
      </c>
      <c r="B20" s="120"/>
      <c r="C20" s="63">
        <f>SUM('Stavební rozpočet'!X12:X83)</f>
        <v>0</v>
      </c>
      <c r="D20" s="117"/>
      <c r="E20" s="118"/>
      <c r="F20" s="64"/>
      <c r="G20" s="117"/>
      <c r="H20" s="118"/>
      <c r="I20" s="64"/>
      <c r="J20" s="32"/>
    </row>
    <row r="21" spans="1:10" ht="15" customHeight="1">
      <c r="A21" s="119" t="s">
        <v>247</v>
      </c>
      <c r="B21" s="120"/>
      <c r="C21" s="63">
        <f>SUM('Stavební rozpočet'!P12:P83)</f>
        <v>0</v>
      </c>
      <c r="D21" s="117"/>
      <c r="E21" s="118"/>
      <c r="F21" s="64"/>
      <c r="G21" s="117"/>
      <c r="H21" s="118"/>
      <c r="I21" s="64"/>
      <c r="J21" s="32"/>
    </row>
    <row r="22" spans="1:10" ht="16.5" customHeight="1">
      <c r="A22" s="119" t="s">
        <v>248</v>
      </c>
      <c r="B22" s="120"/>
      <c r="C22" s="63">
        <f>SUM(C14:C21)</f>
        <v>0</v>
      </c>
      <c r="D22" s="119" t="s">
        <v>261</v>
      </c>
      <c r="E22" s="120"/>
      <c r="F22" s="63">
        <f>SUM(F14:F21)</f>
        <v>0</v>
      </c>
      <c r="G22" s="119" t="s">
        <v>274</v>
      </c>
      <c r="H22" s="120"/>
      <c r="I22" s="63">
        <f>SUM(I14:I21)</f>
        <v>0</v>
      </c>
      <c r="J22" s="32"/>
    </row>
    <row r="23" spans="1:10" ht="15" customHeight="1">
      <c r="A23" s="8"/>
      <c r="B23" s="8"/>
      <c r="C23" s="61"/>
      <c r="D23" s="119" t="s">
        <v>262</v>
      </c>
      <c r="E23" s="120"/>
      <c r="F23" s="65">
        <v>0</v>
      </c>
      <c r="G23" s="119" t="s">
        <v>275</v>
      </c>
      <c r="H23" s="120"/>
      <c r="I23" s="63">
        <v>0</v>
      </c>
      <c r="J23" s="32"/>
    </row>
    <row r="24" spans="4:9" ht="15" customHeight="1">
      <c r="D24" s="8"/>
      <c r="E24" s="8"/>
      <c r="F24" s="66"/>
      <c r="G24" s="119" t="s">
        <v>276</v>
      </c>
      <c r="H24" s="120"/>
      <c r="I24" s="68"/>
    </row>
    <row r="25" spans="6:10" ht="15" customHeight="1">
      <c r="F25" s="67"/>
      <c r="G25" s="119" t="s">
        <v>277</v>
      </c>
      <c r="H25" s="120"/>
      <c r="I25" s="63">
        <v>0</v>
      </c>
      <c r="J25" s="32"/>
    </row>
    <row r="26" spans="1:9" ht="12.75">
      <c r="A26" s="53"/>
      <c r="B26" s="53"/>
      <c r="C26" s="53"/>
      <c r="G26" s="8"/>
      <c r="H26" s="8"/>
      <c r="I26" s="8"/>
    </row>
    <row r="27" spans="1:9" ht="15" customHeight="1">
      <c r="A27" s="121" t="s">
        <v>249</v>
      </c>
      <c r="B27" s="122"/>
      <c r="C27" s="69">
        <f>SUM('Stavební rozpočet'!Z12:Z83)</f>
        <v>0</v>
      </c>
      <c r="D27" s="62"/>
      <c r="E27" s="53"/>
      <c r="F27" s="53"/>
      <c r="G27" s="53"/>
      <c r="H27" s="53"/>
      <c r="I27" s="53"/>
    </row>
    <row r="28" spans="1:10" ht="15" customHeight="1">
      <c r="A28" s="121" t="s">
        <v>250</v>
      </c>
      <c r="B28" s="122"/>
      <c r="C28" s="69">
        <f>SUM('Stavební rozpočet'!AA12:AA83)+(F22+I22+F23+I23+I24+I25)</f>
        <v>0</v>
      </c>
      <c r="D28" s="121" t="s">
        <v>263</v>
      </c>
      <c r="E28" s="122"/>
      <c r="F28" s="69">
        <f>ROUND(C28*(15/100),2)</f>
        <v>0</v>
      </c>
      <c r="G28" s="121" t="s">
        <v>278</v>
      </c>
      <c r="H28" s="122"/>
      <c r="I28" s="69">
        <f>SUM(C27:C29)</f>
        <v>0</v>
      </c>
      <c r="J28" s="32"/>
    </row>
    <row r="29" spans="1:10" ht="15" customHeight="1">
      <c r="A29" s="121" t="s">
        <v>251</v>
      </c>
      <c r="B29" s="122"/>
      <c r="C29" s="69">
        <f>SUM('Stavební rozpočet'!AB12:AB83)</f>
        <v>0</v>
      </c>
      <c r="D29" s="121" t="s">
        <v>264</v>
      </c>
      <c r="E29" s="122"/>
      <c r="F29" s="69">
        <f>ROUND(C29*(21/100),2)</f>
        <v>0</v>
      </c>
      <c r="G29" s="121" t="s">
        <v>279</v>
      </c>
      <c r="H29" s="122"/>
      <c r="I29" s="69">
        <f>SUM(F28:F29)+I28</f>
        <v>0</v>
      </c>
      <c r="J29" s="32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10" ht="14.25" customHeight="1">
      <c r="A31" s="123" t="s">
        <v>252</v>
      </c>
      <c r="B31" s="124"/>
      <c r="C31" s="125"/>
      <c r="D31" s="123" t="s">
        <v>265</v>
      </c>
      <c r="E31" s="124"/>
      <c r="F31" s="125"/>
      <c r="G31" s="123" t="s">
        <v>280</v>
      </c>
      <c r="H31" s="124"/>
      <c r="I31" s="125"/>
      <c r="J31" s="33"/>
    </row>
    <row r="32" spans="1:10" ht="14.25" customHeight="1">
      <c r="A32" s="126"/>
      <c r="B32" s="127"/>
      <c r="C32" s="128"/>
      <c r="D32" s="126"/>
      <c r="E32" s="127"/>
      <c r="F32" s="128"/>
      <c r="G32" s="126"/>
      <c r="H32" s="127"/>
      <c r="I32" s="128"/>
      <c r="J32" s="33"/>
    </row>
    <row r="33" spans="1:10" ht="14.25" customHeight="1">
      <c r="A33" s="126"/>
      <c r="B33" s="127"/>
      <c r="C33" s="128"/>
      <c r="D33" s="126"/>
      <c r="E33" s="127"/>
      <c r="F33" s="128"/>
      <c r="G33" s="126"/>
      <c r="H33" s="127"/>
      <c r="I33" s="128"/>
      <c r="J33" s="33"/>
    </row>
    <row r="34" spans="1:10" ht="14.25" customHeight="1">
      <c r="A34" s="126"/>
      <c r="B34" s="127"/>
      <c r="C34" s="128"/>
      <c r="D34" s="126"/>
      <c r="E34" s="127"/>
      <c r="F34" s="128"/>
      <c r="G34" s="126"/>
      <c r="H34" s="127"/>
      <c r="I34" s="128"/>
      <c r="J34" s="33"/>
    </row>
    <row r="35" spans="1:10" ht="14.25" customHeight="1">
      <c r="A35" s="129" t="s">
        <v>253</v>
      </c>
      <c r="B35" s="130"/>
      <c r="C35" s="131"/>
      <c r="D35" s="129" t="s">
        <v>253</v>
      </c>
      <c r="E35" s="130"/>
      <c r="F35" s="131"/>
      <c r="G35" s="129" t="s">
        <v>253</v>
      </c>
      <c r="H35" s="130"/>
      <c r="I35" s="131"/>
      <c r="J35" s="33"/>
    </row>
    <row r="36" spans="1:9" ht="11.25" customHeight="1">
      <c r="A36" s="58" t="s">
        <v>42</v>
      </c>
      <c r="B36" s="60"/>
      <c r="C36" s="60"/>
      <c r="D36" s="60"/>
      <c r="E36" s="60"/>
      <c r="F36" s="60"/>
      <c r="G36" s="60"/>
      <c r="H36" s="60"/>
      <c r="I36" s="60"/>
    </row>
    <row r="37" spans="1:9" ht="25.5" customHeight="1">
      <c r="A37" s="84" t="s">
        <v>43</v>
      </c>
      <c r="B37" s="76"/>
      <c r="C37" s="76"/>
      <c r="D37" s="76"/>
      <c r="E37" s="76"/>
      <c r="F37" s="76"/>
      <c r="G37" s="76"/>
      <c r="H37" s="76"/>
      <c r="I37" s="7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Tatka</cp:lastModifiedBy>
  <dcterms:modified xsi:type="dcterms:W3CDTF">2017-01-11T14:21:30Z</dcterms:modified>
  <cp:category/>
  <cp:version/>
  <cp:contentType/>
  <cp:contentStatus/>
</cp:coreProperties>
</file>