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1"/>
  </bookViews>
  <sheets>
    <sheet name="Stavební rozpočet" sheetId="1" r:id="rId1"/>
    <sheet name="Krycí list rozpočtu" sheetId="2" r:id="rId2"/>
    <sheet name="Krycí list objektu (Kanalizace)" sheetId="3" r:id="rId3"/>
    <sheet name="Krycí list objektu (Komunikace)" sheetId="4" r:id="rId4"/>
  </sheets>
  <definedNames/>
  <calcPr fullCalcOnLoad="1"/>
</workbook>
</file>

<file path=xl/sharedStrings.xml><?xml version="1.0" encoding="utf-8"?>
<sst xmlns="http://schemas.openxmlformats.org/spreadsheetml/2006/main" count="624" uniqueCount="233">
  <si>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</si>
  <si>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</si>
  <si>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</si>
  <si>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</si>
  <si>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</si>
  <si>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</si>
  <si>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</si>
  <si>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</si>
  <si>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</si>
  <si>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</si>
  <si>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</si>
  <si>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</si>
  <si>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</si>
  <si>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</si>
  <si>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</si>
  <si>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</si>
  <si>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</si>
  <si>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</si>
  <si>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</si>
  <si>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</si>
  <si>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</si>
  <si>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</si>
  <si>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</si>
  <si>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</si>
  <si>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</si>
  <si>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</si>
  <si>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</si>
  <si>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</si>
  <si>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</si>
  <si>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</si>
  <si>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</si>
  <si>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</si>
  <si>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</si>
  <si>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</si>
  <si>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Poznámka:</t>
  </si>
  <si>
    <t>Objekt</t>
  </si>
  <si>
    <t>001</t>
  </si>
  <si>
    <t>K</t>
  </si>
  <si>
    <t>Kód</t>
  </si>
  <si>
    <t>113109320R00</t>
  </si>
  <si>
    <t>132201112R00</t>
  </si>
  <si>
    <t>132201119R00</t>
  </si>
  <si>
    <t>162701102R00</t>
  </si>
  <si>
    <t>174101101R00</t>
  </si>
  <si>
    <t>181006121R00</t>
  </si>
  <si>
    <t>87</t>
  </si>
  <si>
    <t>871353121RT2</t>
  </si>
  <si>
    <t>871313121RT2</t>
  </si>
  <si>
    <t>89</t>
  </si>
  <si>
    <t>892571111R00</t>
  </si>
  <si>
    <t>894411121R00</t>
  </si>
  <si>
    <t>899721112R00</t>
  </si>
  <si>
    <t>899103111RT2</t>
  </si>
  <si>
    <t>91</t>
  </si>
  <si>
    <t>919571111R00</t>
  </si>
  <si>
    <t>998276101R00</t>
  </si>
  <si>
    <t>M46</t>
  </si>
  <si>
    <t>460620006RT1</t>
  </si>
  <si>
    <t>583309990001</t>
  </si>
  <si>
    <t>56</t>
  </si>
  <si>
    <t>569621116R00</t>
  </si>
  <si>
    <t>569531111R00</t>
  </si>
  <si>
    <t>564811111R00</t>
  </si>
  <si>
    <t>57</t>
  </si>
  <si>
    <t>573111112R00</t>
  </si>
  <si>
    <t>573231111R00</t>
  </si>
  <si>
    <t>577112113RT2</t>
  </si>
  <si>
    <t>577114116RT2</t>
  </si>
  <si>
    <t>894411020RBA</t>
  </si>
  <si>
    <t>917862111RU2</t>
  </si>
  <si>
    <t>918101111R00</t>
  </si>
  <si>
    <t>460030081RT2</t>
  </si>
  <si>
    <t>Oprava</t>
  </si>
  <si>
    <t>Chrastava, Hřbitovní - Luční</t>
  </si>
  <si>
    <t>Zkrácený popis</t>
  </si>
  <si>
    <t>Rozměry</t>
  </si>
  <si>
    <t>Kanalizace</t>
  </si>
  <si>
    <t>Přípravné a přidružené práce</t>
  </si>
  <si>
    <t>Práce spojené s přechodem asfalt.komunikace</t>
  </si>
  <si>
    <t>včetně uvedení do původního stavu</t>
  </si>
  <si>
    <t>Hloubené vykopávky</t>
  </si>
  <si>
    <t>Hloubení rýh š.do 60 cm v hor.3 nad 100 m3,STROJNĚ</t>
  </si>
  <si>
    <t>včetně rozšíření pro RŠ</t>
  </si>
  <si>
    <t>Příplatek za lepivost - hloubení rýh 60 cm v hor.3</t>
  </si>
  <si>
    <t>Přemístění výkopku</t>
  </si>
  <si>
    <t>Vodorovné přemístění výkopku z hor.1-4 do 7000 m</t>
  </si>
  <si>
    <t>Konstrukce ze zemin</t>
  </si>
  <si>
    <t>Zásyp jam, rýh, šachet se zhutněním</t>
  </si>
  <si>
    <t>10cm pod a 30cm nad potrubí</t>
  </si>
  <si>
    <t>Povrchové úpravy terénu</t>
  </si>
  <si>
    <t>Rozprostření zemin ve sklonu nad 1:5, tl. do 10 cm</t>
  </si>
  <si>
    <t>Závěrečná úprava terénu</t>
  </si>
  <si>
    <t>Potrubí z trub plastických, skleněných a čedičových</t>
  </si>
  <si>
    <t>Montáž trub z plastu, gumový kroužek, DN 200</t>
  </si>
  <si>
    <t>Montáž trub z plastu, gumový kroužek, DN 150</t>
  </si>
  <si>
    <t>přípojky ul.vpustí</t>
  </si>
  <si>
    <t>Ostatní konstrukce a práce na trubním vedení</t>
  </si>
  <si>
    <t>Zkouška těsnosti kanalizace DN do 200, vodou</t>
  </si>
  <si>
    <t>Fólie výstražná z PVC, šířka 30 cm</t>
  </si>
  <si>
    <t>Osazení poklopu s rámem do 150 kg</t>
  </si>
  <si>
    <t>Doplňující konstrukce a práce na pozemních komunikacích a zpevněných plochách</t>
  </si>
  <si>
    <t>Zřízení propustku z plastových trub do DN 300 mm</t>
  </si>
  <si>
    <t>výtokový objekt</t>
  </si>
  <si>
    <t>Přesun hmot, trubní vedení plastová, otevř. výkop</t>
  </si>
  <si>
    <t>Zemní práce při montážích</t>
  </si>
  <si>
    <t>Osetí povrchu trávou</t>
  </si>
  <si>
    <t>včetně dodávky osiva</t>
  </si>
  <si>
    <t>Ostatní materiál</t>
  </si>
  <si>
    <t>Písek kopaný</t>
  </si>
  <si>
    <t>k pol.č.5</t>
  </si>
  <si>
    <t>Komunikace</t>
  </si>
  <si>
    <t>Podkladní vrstvy komunikací a zpevněných ploch</t>
  </si>
  <si>
    <t>Zpevnění krajnic asfaltovým recyklátem tl. 10 cm</t>
  </si>
  <si>
    <t>Zpevnění krajnic prohozenou zeminou tl. 10 cm</t>
  </si>
  <si>
    <t>Podklad ze štěrkodrti po zhutnění tloušťky 5 cm</t>
  </si>
  <si>
    <t>Kryty štěrkových a živičných pozemních komunikací a zpevněných ploch</t>
  </si>
  <si>
    <t>Postřik živičný infiltr.+ posyp,z asfaltu 1 kg/m2</t>
  </si>
  <si>
    <t>Postřik živičný spojovací z emulze 0,5-0,7 kg/m2</t>
  </si>
  <si>
    <t>Beton asfalt. ACO 11 S modifik. š. do 3 m, tl.4 cm</t>
  </si>
  <si>
    <t>Beton asf.ACL 16 S,modif.ložný š. do 3 m, tl. 7 cm</t>
  </si>
  <si>
    <t>Vpusť uliční z dílců DN 450,s kal.košem,s výtokem</t>
  </si>
  <si>
    <t>kompletní dodávka včetně práce</t>
  </si>
  <si>
    <t>Osazení stojat. obrub.bet. s opěrou,lože z C 12/15</t>
  </si>
  <si>
    <t>včetně dodávky obrub a betonu</t>
  </si>
  <si>
    <t>Lože pod obrubníky nebo obruby dlažeb z C 12/15</t>
  </si>
  <si>
    <t>Řezání spáry v asfaltu nebo betonu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</si>
  <si>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</si>
  <si>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</si>
  <si>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</si>
  <si>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</si>
  <si>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</si>
  <si>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</si>
  <si>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</si>
  <si>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</si>
  <si>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</si>
  <si>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</si>
  <si>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</si>
  <si>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</si>
  <si>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</si>
  <si>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</si>
  <si>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</si>
  <si>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</si>
  <si>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</si>
  <si>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</si>
  <si>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</si>
  <si>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</si>
  <si>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</si>
  <si>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Pavel Beran</t>
  </si>
  <si>
    <t>Celkem</t>
  </si>
  <si>
    <t>Hmotnost (t)</t>
  </si>
  <si>
    <t>Cenová</t>
  </si>
  <si>
    <t>soustava</t>
  </si>
  <si>
    <t>RTS II / 2015</t>
  </si>
  <si>
    <t>RTS I / 2016</t>
  </si>
  <si>
    <t>0</t>
  </si>
  <si>
    <t>Přesuny</t>
  </si>
  <si>
    <t>Typ skupiny</t>
  </si>
  <si>
    <t>HS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</si>
  <si>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</si>
  <si>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</si>
  <si>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</si>
  <si>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</si>
  <si>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</si>
  <si>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</si>
  <si>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</si>
  <si>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</si>
  <si>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</si>
  <si>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</si>
  <si>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</si>
  <si>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16_</t>
  </si>
  <si>
    <t>17_</t>
  </si>
  <si>
    <t>18_</t>
  </si>
  <si>
    <t>87_</t>
  </si>
  <si>
    <t>89_</t>
  </si>
  <si>
    <t>91_</t>
  </si>
  <si>
    <t>M46_</t>
  </si>
  <si>
    <t>Z99999_</t>
  </si>
  <si>
    <t>56_</t>
  </si>
  <si>
    <t>57_</t>
  </si>
  <si>
    <t>1_</t>
  </si>
  <si>
    <t>8_</t>
  </si>
  <si>
    <t>9_</t>
  </si>
  <si>
    <t>Z_</t>
  </si>
  <si>
    <t>5_</t>
  </si>
  <si>
    <t>001_</t>
  </si>
  <si>
    <t>K_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</si>
  <si>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</si>
  <si>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</si>
  <si>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</si>
  <si>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</si>
  <si>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</si>
  <si>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</si>
  <si>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</si>
  <si>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</si>
  <si>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</si>
  <si>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</si>
  <si>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</si>
  <si>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</si>
  <si>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</si>
  <si>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</si>
  <si>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</si>
  <si>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</si>
  <si>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</si>
  <si>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</si>
  <si>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</si>
  <si>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</si>
  <si>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</si>
  <si>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</si>
  <si>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</si>
  <si>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</si>
  <si>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</si>
  <si>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</si>
  <si>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</si>
  <si>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</si>
  <si>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</si>
  <si>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</si>
  <si>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</si>
  <si>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</si>
  <si>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</si>
  <si>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</si>
  <si>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</si>
  <si>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</si>
  <si>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</si>
  <si>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</si>
  <si>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</si>
  <si>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</si>
  <si>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</si>
  <si>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</si>
  <si>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</si>
  <si>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Zřízení šachet z dílců, dno C25/30, potrubí DN 200</t>
  </si>
  <si>
    <t>Oprava komunikace u hřbitova včetně odvodnění</t>
  </si>
  <si>
    <t>Krycí list objektu (Kanalizace)</t>
  </si>
  <si>
    <t>Krycí list objektu (Komunikace)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</si>
</sst>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3" fillId="11" borderId="0" applyNumberFormat="0" applyBorder="0" applyAlignment="0" applyProtection="0"/>
    <xf numFmtId="0" fontId="29" fillId="6" borderId="2" applyNumberFormat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3" borderId="8" applyNumberFormat="0" applyAlignment="0" applyProtection="0"/>
    <xf numFmtId="0" fontId="27" fillId="2" borderId="8" applyNumberFormat="0" applyAlignment="0" applyProtection="0"/>
    <xf numFmtId="0" fontId="26" fillId="2" borderId="9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</cellStyleXfs>
  <cellXfs count="12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17" borderId="12" xfId="0" applyNumberFormat="1" applyFont="1" applyFill="1" applyBorder="1" applyAlignment="1" applyProtection="1">
      <alignment horizontal="left" vertical="center"/>
      <protection/>
    </xf>
    <xf numFmtId="49" fontId="5" fillId="18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17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17" borderId="12" xfId="0" applyNumberFormat="1" applyFont="1" applyFill="1" applyBorder="1" applyAlignment="1" applyProtection="1">
      <alignment horizontal="left" vertical="center"/>
      <protection/>
    </xf>
    <xf numFmtId="49" fontId="10" fillId="18" borderId="0" xfId="0" applyNumberFormat="1" applyFont="1" applyFill="1" applyBorder="1" applyAlignment="1" applyProtection="1">
      <alignment horizontal="left" vertical="center"/>
      <protection/>
    </xf>
    <xf numFmtId="49" fontId="9" fillId="17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17" borderId="12" xfId="0" applyNumberFormat="1" applyFont="1" applyFill="1" applyBorder="1" applyAlignment="1" applyProtection="1">
      <alignment horizontal="right" vertical="center"/>
      <protection/>
    </xf>
    <xf numFmtId="49" fontId="10" fillId="18" borderId="0" xfId="0" applyNumberFormat="1" applyFont="1" applyFill="1" applyBorder="1" applyAlignment="1" applyProtection="1">
      <alignment horizontal="right" vertical="center"/>
      <protection/>
    </xf>
    <xf numFmtId="49" fontId="9" fillId="17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17" borderId="12" xfId="0" applyNumberFormat="1" applyFont="1" applyFill="1" applyBorder="1" applyAlignment="1" applyProtection="1">
      <alignment horizontal="right" vertical="center"/>
      <protection/>
    </xf>
    <xf numFmtId="4" fontId="10" fillId="18" borderId="0" xfId="0" applyNumberFormat="1" applyFont="1" applyFill="1" applyBorder="1" applyAlignment="1" applyProtection="1">
      <alignment horizontal="right" vertical="center"/>
      <protection/>
    </xf>
    <xf numFmtId="4" fontId="9" fillId="17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3" fillId="19" borderId="26" xfId="0" applyNumberFormat="1" applyFont="1" applyFill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5" fillId="0" borderId="26" xfId="0" applyNumberFormat="1" applyFont="1" applyFill="1" applyBorder="1" applyAlignment="1" applyProtection="1">
      <alignment horizontal="right" vertical="center"/>
      <protection/>
    </xf>
    <xf numFmtId="49" fontId="15" fillId="0" borderId="26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4" fillId="19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49" fontId="9" fillId="17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18" borderId="0" xfId="0" applyNumberFormat="1" applyFont="1" applyFill="1" applyBorder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9" fillId="17" borderId="0" xfId="0" applyNumberFormat="1" applyFont="1" applyFill="1" applyBorder="1" applyAlignment="1" applyProtection="1">
      <alignment horizontal="left" vertical="center"/>
      <protection/>
    </xf>
    <xf numFmtId="0" fontId="9" fillId="17" borderId="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9" fillId="17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49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49" fontId="14" fillId="19" borderId="45" xfId="0" applyNumberFormat="1" applyFont="1" applyFill="1" applyBorder="1" applyAlignment="1" applyProtection="1">
      <alignment horizontal="left" vertical="center"/>
      <protection/>
    </xf>
    <xf numFmtId="0" fontId="14" fillId="19" borderId="46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49" fontId="16" fillId="0" borderId="45" xfId="0" applyNumberFormat="1" applyFont="1" applyFill="1" applyBorder="1" applyAlignment="1" applyProtection="1">
      <alignment horizontal="left" vertical="center"/>
      <protection/>
    </xf>
    <xf numFmtId="0" fontId="16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 [0]" xfId="36"/>
    <cellStyle name="Chybně" xfId="37"/>
    <cellStyle name="Kontrolní buňka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zoomScalePageLayoutView="0" workbookViewId="0" topLeftCell="A20">
      <selection activeCell="G67" sqref="G6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6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ht="12.75">
      <c r="A2" s="86" t="s">
        <v>1</v>
      </c>
      <c r="B2" s="87"/>
      <c r="C2" s="87"/>
      <c r="D2" s="88" t="s">
        <v>230</v>
      </c>
      <c r="E2" s="90" t="s">
        <v>126</v>
      </c>
      <c r="F2" s="87"/>
      <c r="G2" s="90"/>
      <c r="H2" s="87"/>
      <c r="I2" s="91" t="s">
        <v>142</v>
      </c>
      <c r="J2" s="91"/>
      <c r="K2" s="87"/>
      <c r="L2" s="87"/>
      <c r="M2" s="92"/>
      <c r="N2" s="35"/>
    </row>
    <row r="3" spans="1:14" ht="12.75">
      <c r="A3" s="83"/>
      <c r="B3" s="64"/>
      <c r="C3" s="64"/>
      <c r="D3" s="89"/>
      <c r="E3" s="64"/>
      <c r="F3" s="64"/>
      <c r="G3" s="64"/>
      <c r="H3" s="64"/>
      <c r="I3" s="64"/>
      <c r="J3" s="64"/>
      <c r="K3" s="64"/>
      <c r="L3" s="64"/>
      <c r="M3" s="81"/>
      <c r="N3" s="35"/>
    </row>
    <row r="4" spans="1:14" ht="12.75">
      <c r="A4" s="76" t="s">
        <v>2</v>
      </c>
      <c r="B4" s="64"/>
      <c r="C4" s="64"/>
      <c r="D4" s="63" t="s">
        <v>72</v>
      </c>
      <c r="E4" s="79" t="s">
        <v>127</v>
      </c>
      <c r="F4" s="64"/>
      <c r="G4" s="79" t="s">
        <v>6</v>
      </c>
      <c r="H4" s="64"/>
      <c r="I4" s="63" t="s">
        <v>143</v>
      </c>
      <c r="J4" s="63"/>
      <c r="K4" s="64"/>
      <c r="L4" s="64"/>
      <c r="M4" s="81"/>
      <c r="N4" s="35"/>
    </row>
    <row r="5" spans="1:14" ht="12.75">
      <c r="A5" s="8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81"/>
      <c r="N5" s="35"/>
    </row>
    <row r="6" spans="1:14" ht="12.75">
      <c r="A6" s="76" t="s">
        <v>3</v>
      </c>
      <c r="B6" s="64"/>
      <c r="C6" s="64"/>
      <c r="D6" s="63" t="s">
        <v>73</v>
      </c>
      <c r="E6" s="79" t="s">
        <v>128</v>
      </c>
      <c r="F6" s="64"/>
      <c r="G6" s="64"/>
      <c r="H6" s="64"/>
      <c r="I6" s="63" t="s">
        <v>144</v>
      </c>
      <c r="J6" s="63"/>
      <c r="K6" s="64"/>
      <c r="L6" s="64"/>
      <c r="M6" s="81"/>
      <c r="N6" s="35"/>
    </row>
    <row r="7" spans="1:14" ht="12.75">
      <c r="A7" s="8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81"/>
      <c r="N7" s="35"/>
    </row>
    <row r="8" spans="1:14" ht="12.75">
      <c r="A8" s="76" t="s">
        <v>4</v>
      </c>
      <c r="B8" s="64"/>
      <c r="C8" s="64"/>
      <c r="D8" s="63">
        <v>8272111</v>
      </c>
      <c r="E8" s="79" t="s">
        <v>129</v>
      </c>
      <c r="F8" s="64"/>
      <c r="G8" s="80">
        <v>42447</v>
      </c>
      <c r="H8" s="64"/>
      <c r="I8" s="63" t="s">
        <v>145</v>
      </c>
      <c r="J8" s="63" t="s">
        <v>147</v>
      </c>
      <c r="K8" s="64"/>
      <c r="L8" s="64"/>
      <c r="M8" s="81"/>
      <c r="N8" s="35"/>
    </row>
    <row r="9" spans="1:14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82"/>
      <c r="N9" s="35"/>
    </row>
    <row r="10" spans="1:14" ht="12.75">
      <c r="A10" s="1" t="s">
        <v>5</v>
      </c>
      <c r="B10" s="11" t="s">
        <v>35</v>
      </c>
      <c r="C10" s="11" t="s">
        <v>38</v>
      </c>
      <c r="D10" s="11" t="s">
        <v>74</v>
      </c>
      <c r="E10" s="11" t="s">
        <v>130</v>
      </c>
      <c r="F10" s="18" t="s">
        <v>136</v>
      </c>
      <c r="G10" s="22" t="s">
        <v>137</v>
      </c>
      <c r="H10" s="73" t="s">
        <v>139</v>
      </c>
      <c r="I10" s="74"/>
      <c r="J10" s="61"/>
      <c r="K10" s="73" t="s">
        <v>149</v>
      </c>
      <c r="L10" s="61"/>
      <c r="M10" s="30" t="s">
        <v>150</v>
      </c>
      <c r="N10" s="36"/>
    </row>
    <row r="11" spans="1:24" ht="12.75">
      <c r="A11" s="2" t="s">
        <v>6</v>
      </c>
      <c r="B11" s="12" t="s">
        <v>6</v>
      </c>
      <c r="C11" s="12" t="s">
        <v>6</v>
      </c>
      <c r="D11" s="17" t="s">
        <v>75</v>
      </c>
      <c r="E11" s="12" t="s">
        <v>6</v>
      </c>
      <c r="F11" s="12" t="s">
        <v>6</v>
      </c>
      <c r="G11" s="23" t="s">
        <v>138</v>
      </c>
      <c r="H11" s="24" t="s">
        <v>140</v>
      </c>
      <c r="I11" s="25" t="s">
        <v>146</v>
      </c>
      <c r="J11" s="26" t="s">
        <v>148</v>
      </c>
      <c r="K11" s="24" t="s">
        <v>137</v>
      </c>
      <c r="L11" s="26" t="s">
        <v>148</v>
      </c>
      <c r="M11" s="31" t="s">
        <v>151</v>
      </c>
      <c r="N11" s="36"/>
      <c r="P11" s="28" t="s">
        <v>155</v>
      </c>
      <c r="Q11" s="28" t="s">
        <v>156</v>
      </c>
      <c r="R11" s="28" t="s">
        <v>160</v>
      </c>
      <c r="S11" s="28" t="s">
        <v>161</v>
      </c>
      <c r="T11" s="28" t="s">
        <v>162</v>
      </c>
      <c r="U11" s="28" t="s">
        <v>163</v>
      </c>
      <c r="V11" s="28" t="s">
        <v>164</v>
      </c>
      <c r="W11" s="28" t="s">
        <v>165</v>
      </c>
      <c r="X11" s="28" t="s">
        <v>166</v>
      </c>
    </row>
    <row r="12" spans="1:13" ht="12.75">
      <c r="A12" s="3"/>
      <c r="B12" s="13" t="s">
        <v>36</v>
      </c>
      <c r="C12" s="13"/>
      <c r="D12" s="62" t="s">
        <v>76</v>
      </c>
      <c r="E12" s="75"/>
      <c r="F12" s="75"/>
      <c r="G12" s="75"/>
      <c r="H12" s="39">
        <f>H13+H16+H20+H22+H25+H28+H32+H37+H41+H44</f>
        <v>0</v>
      </c>
      <c r="I12" s="39">
        <f>I13+I16+I20+I22+I25+I28+I32+I37+I41+I44</f>
        <v>0</v>
      </c>
      <c r="J12" s="39">
        <f>H12+I12</f>
        <v>0</v>
      </c>
      <c r="K12" s="27"/>
      <c r="L12" s="39">
        <f>L13+L16+L20+L22+L25+L28+L32+L37+L41+L44</f>
        <v>128.95256999999998</v>
      </c>
      <c r="M12" s="27"/>
    </row>
    <row r="13" spans="1:37" ht="12.75">
      <c r="A13" s="4"/>
      <c r="B13" s="14" t="s">
        <v>36</v>
      </c>
      <c r="C13" s="14" t="s">
        <v>17</v>
      </c>
      <c r="D13" s="65" t="s">
        <v>77</v>
      </c>
      <c r="E13" s="66"/>
      <c r="F13" s="66"/>
      <c r="G13" s="66"/>
      <c r="H13" s="40">
        <f>SUM(H14:H14)</f>
        <v>0</v>
      </c>
      <c r="I13" s="40">
        <f>SUM(I14:I14)</f>
        <v>0</v>
      </c>
      <c r="J13" s="40">
        <f>H13+I13</f>
        <v>0</v>
      </c>
      <c r="K13" s="28"/>
      <c r="L13" s="40">
        <f>SUM(L14:L14)</f>
        <v>1.92</v>
      </c>
      <c r="M13" s="28"/>
      <c r="P13" s="40">
        <f>IF(Q13="PR",J13,SUM(O14:O14))</f>
        <v>0</v>
      </c>
      <c r="Q13" s="28" t="s">
        <v>157</v>
      </c>
      <c r="R13" s="40">
        <f>IF(Q13="HS",H13,0)</f>
        <v>0</v>
      </c>
      <c r="S13" s="40">
        <f>IF(Q13="HS",I13-P13,0)</f>
        <v>0</v>
      </c>
      <c r="T13" s="40">
        <f>IF(Q13="PS",H13,0)</f>
        <v>0</v>
      </c>
      <c r="U13" s="40">
        <f>IF(Q13="PS",I13-P13,0)</f>
        <v>0</v>
      </c>
      <c r="V13" s="40">
        <f>IF(Q13="MP",H13,0)</f>
        <v>0</v>
      </c>
      <c r="W13" s="40">
        <f>IF(Q13="MP",I13-P13,0)</f>
        <v>0</v>
      </c>
      <c r="X13" s="40">
        <f>IF(Q13="OM",H13,0)</f>
        <v>0</v>
      </c>
      <c r="Y13" s="28" t="s">
        <v>36</v>
      </c>
      <c r="AI13" s="40">
        <f>SUM(Z14:Z14)</f>
        <v>0</v>
      </c>
      <c r="AJ13" s="40">
        <f>SUM(AA14:AA14)</f>
        <v>0</v>
      </c>
      <c r="AK13" s="40">
        <f>SUM(AB14:AB14)</f>
        <v>0</v>
      </c>
    </row>
    <row r="14" spans="1:43" ht="12.75">
      <c r="A14" s="5" t="s">
        <v>7</v>
      </c>
      <c r="B14" s="5" t="s">
        <v>36</v>
      </c>
      <c r="C14" s="5" t="s">
        <v>39</v>
      </c>
      <c r="D14" s="5" t="s">
        <v>78</v>
      </c>
      <c r="E14" s="5" t="s">
        <v>131</v>
      </c>
      <c r="F14" s="19">
        <v>4</v>
      </c>
      <c r="G14" s="19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0.48</v>
      </c>
      <c r="L14" s="19">
        <f>F14*K14</f>
        <v>1.92</v>
      </c>
      <c r="M14" s="32" t="s">
        <v>152</v>
      </c>
      <c r="N14" s="32" t="s">
        <v>7</v>
      </c>
      <c r="O14" s="19">
        <f>IF(N14="5",I14,0)</f>
        <v>0</v>
      </c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37">
        <v>21</v>
      </c>
      <c r="AE14" s="37">
        <f>G14*0</f>
        <v>0</v>
      </c>
      <c r="AF14" s="37">
        <f>G14*(1-0)</f>
        <v>0</v>
      </c>
      <c r="AM14" s="37">
        <f>F14*AE14</f>
        <v>0</v>
      </c>
      <c r="AN14" s="37">
        <f>F14*AF14</f>
        <v>0</v>
      </c>
      <c r="AO14" s="38" t="s">
        <v>167</v>
      </c>
      <c r="AP14" s="38" t="s">
        <v>179</v>
      </c>
      <c r="AQ14" s="28" t="s">
        <v>184</v>
      </c>
    </row>
    <row r="15" spans="3:13" ht="12.75">
      <c r="C15" s="16" t="s">
        <v>34</v>
      </c>
      <c r="D15" s="67" t="s">
        <v>79</v>
      </c>
      <c r="E15" s="68"/>
      <c r="F15" s="68"/>
      <c r="G15" s="68"/>
      <c r="H15" s="68"/>
      <c r="I15" s="68"/>
      <c r="J15" s="68"/>
      <c r="K15" s="68"/>
      <c r="L15" s="68"/>
      <c r="M15" s="68"/>
    </row>
    <row r="16" spans="1:37" ht="12.75">
      <c r="A16" s="4"/>
      <c r="B16" s="14" t="s">
        <v>36</v>
      </c>
      <c r="C16" s="14" t="s">
        <v>19</v>
      </c>
      <c r="D16" s="65" t="s">
        <v>80</v>
      </c>
      <c r="E16" s="66"/>
      <c r="F16" s="66"/>
      <c r="G16" s="66"/>
      <c r="H16" s="40">
        <f>SUM(H17:H19)</f>
        <v>0</v>
      </c>
      <c r="I16" s="40">
        <f>SUM(I17:I19)</f>
        <v>0</v>
      </c>
      <c r="J16" s="40">
        <f>H16+I16</f>
        <v>0</v>
      </c>
      <c r="K16" s="28"/>
      <c r="L16" s="40">
        <f>SUM(L17:L19)</f>
        <v>0</v>
      </c>
      <c r="M16" s="28"/>
      <c r="P16" s="40">
        <f>IF(Q16="PR",J16,SUM(O17:O19))</f>
        <v>0</v>
      </c>
      <c r="Q16" s="28" t="s">
        <v>157</v>
      </c>
      <c r="R16" s="40">
        <f>IF(Q16="HS",H16,0)</f>
        <v>0</v>
      </c>
      <c r="S16" s="40">
        <f>IF(Q16="HS",I16-P16,0)</f>
        <v>0</v>
      </c>
      <c r="T16" s="40">
        <f>IF(Q16="PS",H16,0)</f>
        <v>0</v>
      </c>
      <c r="U16" s="40">
        <f>IF(Q16="PS",I16-P16,0)</f>
        <v>0</v>
      </c>
      <c r="V16" s="40">
        <f>IF(Q16="MP",H16,0)</f>
        <v>0</v>
      </c>
      <c r="W16" s="40">
        <f>IF(Q16="MP",I16-P16,0)</f>
        <v>0</v>
      </c>
      <c r="X16" s="40">
        <f>IF(Q16="OM",H16,0)</f>
        <v>0</v>
      </c>
      <c r="Y16" s="28" t="s">
        <v>36</v>
      </c>
      <c r="AI16" s="40">
        <f>SUM(Z17:Z19)</f>
        <v>0</v>
      </c>
      <c r="AJ16" s="40">
        <f>SUM(AA17:AA19)</f>
        <v>0</v>
      </c>
      <c r="AK16" s="40">
        <f>SUM(AB17:AB19)</f>
        <v>0</v>
      </c>
    </row>
    <row r="17" spans="1:43" ht="12.75">
      <c r="A17" s="5" t="s">
        <v>8</v>
      </c>
      <c r="B17" s="5" t="s">
        <v>36</v>
      </c>
      <c r="C17" s="5" t="s">
        <v>40</v>
      </c>
      <c r="D17" s="5" t="s">
        <v>81</v>
      </c>
      <c r="E17" s="5" t="s">
        <v>132</v>
      </c>
      <c r="F17" s="19">
        <v>243</v>
      </c>
      <c r="G17" s="19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</v>
      </c>
      <c r="L17" s="19">
        <f>F17*K17</f>
        <v>0</v>
      </c>
      <c r="M17" s="32" t="s">
        <v>152</v>
      </c>
      <c r="N17" s="32" t="s">
        <v>7</v>
      </c>
      <c r="O17" s="19">
        <f>IF(N17="5",I17,0)</f>
        <v>0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7">
        <v>21</v>
      </c>
      <c r="AE17" s="37">
        <f>G17*0</f>
        <v>0</v>
      </c>
      <c r="AF17" s="37">
        <f>G17*(1-0)</f>
        <v>0</v>
      </c>
      <c r="AM17" s="37">
        <f>F17*AE17</f>
        <v>0</v>
      </c>
      <c r="AN17" s="37">
        <f>F17*AF17</f>
        <v>0</v>
      </c>
      <c r="AO17" s="38" t="s">
        <v>168</v>
      </c>
      <c r="AP17" s="38" t="s">
        <v>179</v>
      </c>
      <c r="AQ17" s="28" t="s">
        <v>184</v>
      </c>
    </row>
    <row r="18" spans="3:13" ht="12.75">
      <c r="C18" s="16" t="s">
        <v>34</v>
      </c>
      <c r="D18" s="67" t="s">
        <v>82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1:43" ht="12.75">
      <c r="A19" s="5" t="s">
        <v>9</v>
      </c>
      <c r="B19" s="5" t="s">
        <v>36</v>
      </c>
      <c r="C19" s="5" t="s">
        <v>41</v>
      </c>
      <c r="D19" s="5" t="s">
        <v>83</v>
      </c>
      <c r="E19" s="5" t="s">
        <v>132</v>
      </c>
      <c r="F19" s="19">
        <v>243</v>
      </c>
      <c r="G19" s="19">
        <v>0</v>
      </c>
      <c r="H19" s="19">
        <f>F19*AE19</f>
        <v>0</v>
      </c>
      <c r="I19" s="19">
        <f>J19-H19</f>
        <v>0</v>
      </c>
      <c r="J19" s="19">
        <f>F19*G19</f>
        <v>0</v>
      </c>
      <c r="K19" s="19">
        <v>0</v>
      </c>
      <c r="L19" s="19">
        <f>F19*K19</f>
        <v>0</v>
      </c>
      <c r="M19" s="32" t="s">
        <v>152</v>
      </c>
      <c r="N19" s="32" t="s">
        <v>7</v>
      </c>
      <c r="O19" s="19">
        <f>IF(N19="5",I19,0)</f>
        <v>0</v>
      </c>
      <c r="Z19" s="19">
        <f>IF(AD19=0,J19,0)</f>
        <v>0</v>
      </c>
      <c r="AA19" s="19">
        <f>IF(AD19=15,J19,0)</f>
        <v>0</v>
      </c>
      <c r="AB19" s="19">
        <f>IF(AD19=21,J19,0)</f>
        <v>0</v>
      </c>
      <c r="AD19" s="37">
        <v>21</v>
      </c>
      <c r="AE19" s="37">
        <f>G19*0</f>
        <v>0</v>
      </c>
      <c r="AF19" s="37">
        <f>G19*(1-0)</f>
        <v>0</v>
      </c>
      <c r="AM19" s="37">
        <f>F19*AE19</f>
        <v>0</v>
      </c>
      <c r="AN19" s="37">
        <f>F19*AF19</f>
        <v>0</v>
      </c>
      <c r="AO19" s="38" t="s">
        <v>168</v>
      </c>
      <c r="AP19" s="38" t="s">
        <v>179</v>
      </c>
      <c r="AQ19" s="28" t="s">
        <v>184</v>
      </c>
    </row>
    <row r="20" spans="1:37" ht="12.75">
      <c r="A20" s="4"/>
      <c r="B20" s="14" t="s">
        <v>36</v>
      </c>
      <c r="C20" s="14" t="s">
        <v>22</v>
      </c>
      <c r="D20" s="65" t="s">
        <v>84</v>
      </c>
      <c r="E20" s="66"/>
      <c r="F20" s="66"/>
      <c r="G20" s="66"/>
      <c r="H20" s="40">
        <f>SUM(H21:H21)</f>
        <v>0</v>
      </c>
      <c r="I20" s="40">
        <f>SUM(I21:I21)</f>
        <v>0</v>
      </c>
      <c r="J20" s="40">
        <f>H20+I20</f>
        <v>0</v>
      </c>
      <c r="K20" s="28"/>
      <c r="L20" s="40">
        <f>SUM(L21:L21)</f>
        <v>0</v>
      </c>
      <c r="M20" s="28"/>
      <c r="P20" s="40">
        <f>IF(Q20="PR",J20,SUM(O21:O21))</f>
        <v>0</v>
      </c>
      <c r="Q20" s="28" t="s">
        <v>157</v>
      </c>
      <c r="R20" s="40">
        <f>IF(Q20="HS",H20,0)</f>
        <v>0</v>
      </c>
      <c r="S20" s="40">
        <f>IF(Q20="HS",I20-P20,0)</f>
        <v>0</v>
      </c>
      <c r="T20" s="40">
        <f>IF(Q20="PS",H20,0)</f>
        <v>0</v>
      </c>
      <c r="U20" s="40">
        <f>IF(Q20="PS",I20-P20,0)</f>
        <v>0</v>
      </c>
      <c r="V20" s="40">
        <f>IF(Q20="MP",H20,0)</f>
        <v>0</v>
      </c>
      <c r="W20" s="40">
        <f>IF(Q20="MP",I20-P20,0)</f>
        <v>0</v>
      </c>
      <c r="X20" s="40">
        <f>IF(Q20="OM",H20,0)</f>
        <v>0</v>
      </c>
      <c r="Y20" s="28" t="s">
        <v>36</v>
      </c>
      <c r="AI20" s="40">
        <f>SUM(Z21:Z21)</f>
        <v>0</v>
      </c>
      <c r="AJ20" s="40">
        <f>SUM(AA21:AA21)</f>
        <v>0</v>
      </c>
      <c r="AK20" s="40">
        <f>SUM(AB21:AB21)</f>
        <v>0</v>
      </c>
    </row>
    <row r="21" spans="1:43" ht="12.75">
      <c r="A21" s="5" t="s">
        <v>10</v>
      </c>
      <c r="B21" s="5" t="s">
        <v>36</v>
      </c>
      <c r="C21" s="5" t="s">
        <v>42</v>
      </c>
      <c r="D21" s="5" t="s">
        <v>85</v>
      </c>
      <c r="E21" s="5" t="s">
        <v>132</v>
      </c>
      <c r="F21" s="19">
        <v>178</v>
      </c>
      <c r="G21" s="19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</v>
      </c>
      <c r="L21" s="19">
        <f>F21*K21</f>
        <v>0</v>
      </c>
      <c r="M21" s="32" t="s">
        <v>152</v>
      </c>
      <c r="N21" s="32" t="s">
        <v>7</v>
      </c>
      <c r="O21" s="19">
        <f>IF(N21="5",I21,0)</f>
        <v>0</v>
      </c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37">
        <v>21</v>
      </c>
      <c r="AE21" s="37">
        <f>G21*0</f>
        <v>0</v>
      </c>
      <c r="AF21" s="37">
        <f>G21*(1-0)</f>
        <v>0</v>
      </c>
      <c r="AM21" s="37">
        <f>F21*AE21</f>
        <v>0</v>
      </c>
      <c r="AN21" s="37">
        <f>F21*AF21</f>
        <v>0</v>
      </c>
      <c r="AO21" s="38" t="s">
        <v>169</v>
      </c>
      <c r="AP21" s="38" t="s">
        <v>179</v>
      </c>
      <c r="AQ21" s="28" t="s">
        <v>184</v>
      </c>
    </row>
    <row r="22" spans="1:37" ht="12.75">
      <c r="A22" s="4"/>
      <c r="B22" s="14" t="s">
        <v>36</v>
      </c>
      <c r="C22" s="14" t="s">
        <v>23</v>
      </c>
      <c r="D22" s="65" t="s">
        <v>86</v>
      </c>
      <c r="E22" s="66"/>
      <c r="F22" s="66"/>
      <c r="G22" s="66"/>
      <c r="H22" s="40">
        <f>SUM(H23:H23)</f>
        <v>0</v>
      </c>
      <c r="I22" s="40">
        <f>SUM(I23:I23)</f>
        <v>0</v>
      </c>
      <c r="J22" s="40">
        <f>H22+I22</f>
        <v>0</v>
      </c>
      <c r="K22" s="28"/>
      <c r="L22" s="40">
        <f>SUM(L23:L23)</f>
        <v>0</v>
      </c>
      <c r="M22" s="28"/>
      <c r="P22" s="40">
        <f>IF(Q22="PR",J22,SUM(O23:O23))</f>
        <v>0</v>
      </c>
      <c r="Q22" s="28" t="s">
        <v>157</v>
      </c>
      <c r="R22" s="40">
        <f>IF(Q22="HS",H22,0)</f>
        <v>0</v>
      </c>
      <c r="S22" s="40">
        <f>IF(Q22="HS",I22-P22,0)</f>
        <v>0</v>
      </c>
      <c r="T22" s="40">
        <f>IF(Q22="PS",H22,0)</f>
        <v>0</v>
      </c>
      <c r="U22" s="40">
        <f>IF(Q22="PS",I22-P22,0)</f>
        <v>0</v>
      </c>
      <c r="V22" s="40">
        <f>IF(Q22="MP",H22,0)</f>
        <v>0</v>
      </c>
      <c r="W22" s="40">
        <f>IF(Q22="MP",I22-P22,0)</f>
        <v>0</v>
      </c>
      <c r="X22" s="40">
        <f>IF(Q22="OM",H22,0)</f>
        <v>0</v>
      </c>
      <c r="Y22" s="28" t="s">
        <v>36</v>
      </c>
      <c r="AI22" s="40">
        <f>SUM(Z23:Z23)</f>
        <v>0</v>
      </c>
      <c r="AJ22" s="40">
        <f>SUM(AA23:AA23)</f>
        <v>0</v>
      </c>
      <c r="AK22" s="40">
        <f>SUM(AB23:AB23)</f>
        <v>0</v>
      </c>
    </row>
    <row r="23" spans="1:43" ht="12.75">
      <c r="A23" s="5" t="s">
        <v>11</v>
      </c>
      <c r="B23" s="5" t="s">
        <v>36</v>
      </c>
      <c r="C23" s="5" t="s">
        <v>43</v>
      </c>
      <c r="D23" s="5" t="s">
        <v>87</v>
      </c>
      <c r="E23" s="5" t="s">
        <v>132</v>
      </c>
      <c r="F23" s="19">
        <v>65</v>
      </c>
      <c r="G23" s="19">
        <v>0</v>
      </c>
      <c r="H23" s="19">
        <f>F23*AE23</f>
        <v>0</v>
      </c>
      <c r="I23" s="19">
        <f>J23-H23</f>
        <v>0</v>
      </c>
      <c r="J23" s="19">
        <f>F23*G23</f>
        <v>0</v>
      </c>
      <c r="K23" s="19">
        <v>0</v>
      </c>
      <c r="L23" s="19">
        <f>F23*K23</f>
        <v>0</v>
      </c>
      <c r="M23" s="32" t="s">
        <v>152</v>
      </c>
      <c r="N23" s="32" t="s">
        <v>7</v>
      </c>
      <c r="O23" s="19">
        <f>IF(N23="5",I23,0)</f>
        <v>0</v>
      </c>
      <c r="Z23" s="19">
        <f>IF(AD23=0,J23,0)</f>
        <v>0</v>
      </c>
      <c r="AA23" s="19">
        <f>IF(AD23=15,J23,0)</f>
        <v>0</v>
      </c>
      <c r="AB23" s="19">
        <f>IF(AD23=21,J23,0)</f>
        <v>0</v>
      </c>
      <c r="AD23" s="37">
        <v>21</v>
      </c>
      <c r="AE23" s="37">
        <f>G23*0</f>
        <v>0</v>
      </c>
      <c r="AF23" s="37">
        <f>G23*(1-0)</f>
        <v>0</v>
      </c>
      <c r="AM23" s="37">
        <f>F23*AE23</f>
        <v>0</v>
      </c>
      <c r="AN23" s="37">
        <f>F23*AF23</f>
        <v>0</v>
      </c>
      <c r="AO23" s="38" t="s">
        <v>170</v>
      </c>
      <c r="AP23" s="38" t="s">
        <v>179</v>
      </c>
      <c r="AQ23" s="28" t="s">
        <v>184</v>
      </c>
    </row>
    <row r="24" spans="3:13" ht="12.75">
      <c r="C24" s="16" t="s">
        <v>34</v>
      </c>
      <c r="D24" s="67" t="s">
        <v>88</v>
      </c>
      <c r="E24" s="68"/>
      <c r="F24" s="68"/>
      <c r="G24" s="68"/>
      <c r="H24" s="68"/>
      <c r="I24" s="68"/>
      <c r="J24" s="68"/>
      <c r="K24" s="68"/>
      <c r="L24" s="68"/>
      <c r="M24" s="68"/>
    </row>
    <row r="25" spans="1:37" ht="12.75">
      <c r="A25" s="4"/>
      <c r="B25" s="14" t="s">
        <v>36</v>
      </c>
      <c r="C25" s="14" t="s">
        <v>24</v>
      </c>
      <c r="D25" s="65" t="s">
        <v>89</v>
      </c>
      <c r="E25" s="66"/>
      <c r="F25" s="66"/>
      <c r="G25" s="66"/>
      <c r="H25" s="40">
        <f>SUM(H26:H26)</f>
        <v>0</v>
      </c>
      <c r="I25" s="40">
        <f>SUM(I26:I26)</f>
        <v>0</v>
      </c>
      <c r="J25" s="40">
        <f>H25+I25</f>
        <v>0</v>
      </c>
      <c r="K25" s="28"/>
      <c r="L25" s="40">
        <f>SUM(L26:L26)</f>
        <v>0</v>
      </c>
      <c r="M25" s="28"/>
      <c r="P25" s="40">
        <f>IF(Q25="PR",J25,SUM(O26:O26))</f>
        <v>0</v>
      </c>
      <c r="Q25" s="28" t="s">
        <v>157</v>
      </c>
      <c r="R25" s="40">
        <f>IF(Q25="HS",H25,0)</f>
        <v>0</v>
      </c>
      <c r="S25" s="40">
        <f>IF(Q25="HS",I25-P25,0)</f>
        <v>0</v>
      </c>
      <c r="T25" s="40">
        <f>IF(Q25="PS",H25,0)</f>
        <v>0</v>
      </c>
      <c r="U25" s="40">
        <f>IF(Q25="PS",I25-P25,0)</f>
        <v>0</v>
      </c>
      <c r="V25" s="40">
        <f>IF(Q25="MP",H25,0)</f>
        <v>0</v>
      </c>
      <c r="W25" s="40">
        <f>IF(Q25="MP",I25-P25,0)</f>
        <v>0</v>
      </c>
      <c r="X25" s="40">
        <f>IF(Q25="OM",H25,0)</f>
        <v>0</v>
      </c>
      <c r="Y25" s="28" t="s">
        <v>36</v>
      </c>
      <c r="AI25" s="40">
        <f>SUM(Z26:Z26)</f>
        <v>0</v>
      </c>
      <c r="AJ25" s="40">
        <f>SUM(AA26:AA26)</f>
        <v>0</v>
      </c>
      <c r="AK25" s="40">
        <f>SUM(AB26:AB26)</f>
        <v>0</v>
      </c>
    </row>
    <row r="26" spans="1:43" ht="12.75">
      <c r="A26" s="5" t="s">
        <v>12</v>
      </c>
      <c r="B26" s="5" t="s">
        <v>36</v>
      </c>
      <c r="C26" s="5" t="s">
        <v>44</v>
      </c>
      <c r="D26" s="5" t="s">
        <v>90</v>
      </c>
      <c r="E26" s="5" t="s">
        <v>131</v>
      </c>
      <c r="F26" s="19">
        <v>300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</v>
      </c>
      <c r="L26" s="19">
        <f>F26*K26</f>
        <v>0</v>
      </c>
      <c r="M26" s="32" t="s">
        <v>152</v>
      </c>
      <c r="N26" s="32" t="s">
        <v>7</v>
      </c>
      <c r="O26" s="19">
        <f>IF(N26="5",I26,0)</f>
        <v>0</v>
      </c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37">
        <v>21</v>
      </c>
      <c r="AE26" s="37">
        <f>G26*0</f>
        <v>0</v>
      </c>
      <c r="AF26" s="37">
        <f>G26*(1-0)</f>
        <v>0</v>
      </c>
      <c r="AM26" s="37">
        <f>F26*AE26</f>
        <v>0</v>
      </c>
      <c r="AN26" s="37">
        <f>F26*AF26</f>
        <v>0</v>
      </c>
      <c r="AO26" s="38" t="s">
        <v>171</v>
      </c>
      <c r="AP26" s="38" t="s">
        <v>179</v>
      </c>
      <c r="AQ26" s="28" t="s">
        <v>184</v>
      </c>
    </row>
    <row r="27" spans="3:13" ht="12.75">
      <c r="C27" s="16" t="s">
        <v>34</v>
      </c>
      <c r="D27" s="67" t="s">
        <v>91</v>
      </c>
      <c r="E27" s="68"/>
      <c r="F27" s="68"/>
      <c r="G27" s="68"/>
      <c r="H27" s="68"/>
      <c r="I27" s="68"/>
      <c r="J27" s="68"/>
      <c r="K27" s="68"/>
      <c r="L27" s="68"/>
      <c r="M27" s="68"/>
    </row>
    <row r="28" spans="1:37" ht="12.75">
      <c r="A28" s="4"/>
      <c r="B28" s="14" t="s">
        <v>36</v>
      </c>
      <c r="C28" s="14" t="s">
        <v>45</v>
      </c>
      <c r="D28" s="65" t="s">
        <v>92</v>
      </c>
      <c r="E28" s="66"/>
      <c r="F28" s="66"/>
      <c r="G28" s="66"/>
      <c r="H28" s="40">
        <f>SUM(H29:H30)</f>
        <v>0</v>
      </c>
      <c r="I28" s="40">
        <f>SUM(I29:I30)</f>
        <v>0</v>
      </c>
      <c r="J28" s="40">
        <f>H28+I28</f>
        <v>0</v>
      </c>
      <c r="K28" s="28"/>
      <c r="L28" s="40">
        <f>SUM(L29:L30)</f>
        <v>0.60913</v>
      </c>
      <c r="M28" s="28"/>
      <c r="P28" s="40">
        <f>IF(Q28="PR",J28,SUM(O29:O30))</f>
        <v>0</v>
      </c>
      <c r="Q28" s="28" t="s">
        <v>157</v>
      </c>
      <c r="R28" s="40">
        <f>IF(Q28="HS",H28,0)</f>
        <v>0</v>
      </c>
      <c r="S28" s="40">
        <f>IF(Q28="HS",I28-P28,0)</f>
        <v>0</v>
      </c>
      <c r="T28" s="40">
        <f>IF(Q28="PS",H28,0)</f>
        <v>0</v>
      </c>
      <c r="U28" s="40">
        <f>IF(Q28="PS",I28-P28,0)</f>
        <v>0</v>
      </c>
      <c r="V28" s="40">
        <f>IF(Q28="MP",H28,0)</f>
        <v>0</v>
      </c>
      <c r="W28" s="40">
        <f>IF(Q28="MP",I28-P28,0)</f>
        <v>0</v>
      </c>
      <c r="X28" s="40">
        <f>IF(Q28="OM",H28,0)</f>
        <v>0</v>
      </c>
      <c r="Y28" s="28" t="s">
        <v>36</v>
      </c>
      <c r="AI28" s="40">
        <f>SUM(Z29:Z30)</f>
        <v>0</v>
      </c>
      <c r="AJ28" s="40">
        <f>SUM(AA29:AA30)</f>
        <v>0</v>
      </c>
      <c r="AK28" s="40">
        <f>SUM(AB29:AB30)</f>
        <v>0</v>
      </c>
    </row>
    <row r="29" spans="1:43" ht="12.75">
      <c r="A29" s="5" t="s">
        <v>13</v>
      </c>
      <c r="B29" s="5" t="s">
        <v>36</v>
      </c>
      <c r="C29" s="5" t="s">
        <v>46</v>
      </c>
      <c r="D29" s="5" t="s">
        <v>93</v>
      </c>
      <c r="E29" s="5" t="s">
        <v>133</v>
      </c>
      <c r="F29" s="19">
        <v>173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0.00339</v>
      </c>
      <c r="L29" s="19">
        <f>F29*K29</f>
        <v>0.5864699999999999</v>
      </c>
      <c r="M29" s="32" t="s">
        <v>153</v>
      </c>
      <c r="N29" s="32" t="s">
        <v>7</v>
      </c>
      <c r="O29" s="19">
        <f>IF(N29="5",I29,0)</f>
        <v>0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7">
        <v>21</v>
      </c>
      <c r="AE29" s="37">
        <f>G29*0.891637168141593</f>
        <v>0</v>
      </c>
      <c r="AF29" s="37">
        <f>G29*(1-0.891637168141593)</f>
        <v>0</v>
      </c>
      <c r="AM29" s="37">
        <f>F29*AE29</f>
        <v>0</v>
      </c>
      <c r="AN29" s="37">
        <f>F29*AF29</f>
        <v>0</v>
      </c>
      <c r="AO29" s="38" t="s">
        <v>172</v>
      </c>
      <c r="AP29" s="38" t="s">
        <v>180</v>
      </c>
      <c r="AQ29" s="28" t="s">
        <v>184</v>
      </c>
    </row>
    <row r="30" spans="1:43" ht="12.75">
      <c r="A30" s="5" t="s">
        <v>14</v>
      </c>
      <c r="B30" s="5" t="s">
        <v>36</v>
      </c>
      <c r="C30" s="5" t="s">
        <v>47</v>
      </c>
      <c r="D30" s="5" t="s">
        <v>94</v>
      </c>
      <c r="E30" s="5" t="s">
        <v>133</v>
      </c>
      <c r="F30" s="19">
        <v>10.3</v>
      </c>
      <c r="G30" s="19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0.0022</v>
      </c>
      <c r="L30" s="19">
        <f>F30*K30</f>
        <v>0.022660000000000003</v>
      </c>
      <c r="M30" s="32" t="s">
        <v>153</v>
      </c>
      <c r="N30" s="32" t="s">
        <v>7</v>
      </c>
      <c r="O30" s="19">
        <f>IF(N30="5",I30,0)</f>
        <v>0</v>
      </c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37">
        <v>21</v>
      </c>
      <c r="AE30" s="37">
        <f>G30*0.860148600791612</f>
        <v>0</v>
      </c>
      <c r="AF30" s="37">
        <f>G30*(1-0.860148600791612)</f>
        <v>0</v>
      </c>
      <c r="AM30" s="37">
        <f>F30*AE30</f>
        <v>0</v>
      </c>
      <c r="AN30" s="37">
        <f>F30*AF30</f>
        <v>0</v>
      </c>
      <c r="AO30" s="38" t="s">
        <v>172</v>
      </c>
      <c r="AP30" s="38" t="s">
        <v>180</v>
      </c>
      <c r="AQ30" s="28" t="s">
        <v>184</v>
      </c>
    </row>
    <row r="31" spans="3:13" ht="12.75">
      <c r="C31" s="16" t="s">
        <v>34</v>
      </c>
      <c r="D31" s="67" t="s">
        <v>95</v>
      </c>
      <c r="E31" s="68"/>
      <c r="F31" s="68"/>
      <c r="G31" s="68"/>
      <c r="H31" s="68"/>
      <c r="I31" s="68"/>
      <c r="J31" s="68"/>
      <c r="K31" s="68"/>
      <c r="L31" s="68"/>
      <c r="M31" s="68"/>
    </row>
    <row r="32" spans="1:37" ht="12.75">
      <c r="A32" s="4"/>
      <c r="B32" s="14" t="s">
        <v>36</v>
      </c>
      <c r="C32" s="14" t="s">
        <v>48</v>
      </c>
      <c r="D32" s="65" t="s">
        <v>96</v>
      </c>
      <c r="E32" s="66"/>
      <c r="F32" s="66"/>
      <c r="G32" s="66"/>
      <c r="H32" s="40">
        <f>SUM(H33:H36)</f>
        <v>0</v>
      </c>
      <c r="I32" s="40">
        <f>SUM(I33:I36)</f>
        <v>0</v>
      </c>
      <c r="J32" s="40">
        <f>H32+I32</f>
        <v>0</v>
      </c>
      <c r="K32" s="28"/>
      <c r="L32" s="40">
        <f>SUM(L33:L36)</f>
        <v>16.618</v>
      </c>
      <c r="M32" s="28"/>
      <c r="P32" s="40">
        <f>IF(Q32="PR",J32,SUM(O33:O36))</f>
        <v>0</v>
      </c>
      <c r="Q32" s="28" t="s">
        <v>157</v>
      </c>
      <c r="R32" s="40">
        <f>IF(Q32="HS",H32,0)</f>
        <v>0</v>
      </c>
      <c r="S32" s="40">
        <f>IF(Q32="HS",I32-P32,0)</f>
        <v>0</v>
      </c>
      <c r="T32" s="40">
        <f>IF(Q32="PS",H32,0)</f>
        <v>0</v>
      </c>
      <c r="U32" s="40">
        <f>IF(Q32="PS",I32-P32,0)</f>
        <v>0</v>
      </c>
      <c r="V32" s="40">
        <f>IF(Q32="MP",H32,0)</f>
        <v>0</v>
      </c>
      <c r="W32" s="40">
        <f>IF(Q32="MP",I32-P32,0)</f>
        <v>0</v>
      </c>
      <c r="X32" s="40">
        <f>IF(Q32="OM",H32,0)</f>
        <v>0</v>
      </c>
      <c r="Y32" s="28" t="s">
        <v>36</v>
      </c>
      <c r="AI32" s="40">
        <f>SUM(Z33:Z36)</f>
        <v>0</v>
      </c>
      <c r="AJ32" s="40">
        <f>SUM(AA33:AA36)</f>
        <v>0</v>
      </c>
      <c r="AK32" s="40">
        <f>SUM(AB33:AB36)</f>
        <v>0</v>
      </c>
    </row>
    <row r="33" spans="1:43" ht="12.75">
      <c r="A33" s="5" t="s">
        <v>15</v>
      </c>
      <c r="B33" s="5" t="s">
        <v>36</v>
      </c>
      <c r="C33" s="5" t="s">
        <v>49</v>
      </c>
      <c r="D33" s="5" t="s">
        <v>97</v>
      </c>
      <c r="E33" s="5" t="s">
        <v>133</v>
      </c>
      <c r="F33" s="19">
        <v>183.3</v>
      </c>
      <c r="G33" s="19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</v>
      </c>
      <c r="L33" s="19">
        <f>F33*K33</f>
        <v>0</v>
      </c>
      <c r="M33" s="32" t="s">
        <v>152</v>
      </c>
      <c r="N33" s="32" t="s">
        <v>7</v>
      </c>
      <c r="O33" s="19">
        <f>IF(N33="5",I33,0)</f>
        <v>0</v>
      </c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7">
        <v>21</v>
      </c>
      <c r="AE33" s="37">
        <f>G33*0.0748299319727891</f>
        <v>0</v>
      </c>
      <c r="AF33" s="37">
        <f>G33*(1-0.0748299319727891)</f>
        <v>0</v>
      </c>
      <c r="AM33" s="37">
        <f>F33*AE33</f>
        <v>0</v>
      </c>
      <c r="AN33" s="37">
        <f>F33*AF33</f>
        <v>0</v>
      </c>
      <c r="AO33" s="38" t="s">
        <v>173</v>
      </c>
      <c r="AP33" s="38" t="s">
        <v>180</v>
      </c>
      <c r="AQ33" s="28" t="s">
        <v>184</v>
      </c>
    </row>
    <row r="34" spans="1:43" ht="12.75">
      <c r="A34" s="5" t="s">
        <v>16</v>
      </c>
      <c r="B34" s="5" t="s">
        <v>36</v>
      </c>
      <c r="C34" s="5" t="s">
        <v>50</v>
      </c>
      <c r="D34" s="5" t="s">
        <v>229</v>
      </c>
      <c r="E34" s="5" t="s">
        <v>134</v>
      </c>
      <c r="F34" s="19">
        <v>7</v>
      </c>
      <c r="G34" s="19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2.20898</v>
      </c>
      <c r="L34" s="19">
        <f>F34*K34</f>
        <v>15.46286</v>
      </c>
      <c r="M34" s="32" t="s">
        <v>152</v>
      </c>
      <c r="N34" s="32" t="s">
        <v>7</v>
      </c>
      <c r="O34" s="19">
        <f>IF(N34="5",I34,0)</f>
        <v>0</v>
      </c>
      <c r="Z34" s="19">
        <f>IF(AD34=0,J34,0)</f>
        <v>0</v>
      </c>
      <c r="AA34" s="19">
        <f>IF(AD34=15,J34,0)</f>
        <v>0</v>
      </c>
      <c r="AB34" s="19">
        <f>IF(AD34=21,J34,0)</f>
        <v>0</v>
      </c>
      <c r="AD34" s="37">
        <v>21</v>
      </c>
      <c r="AE34" s="37">
        <f>G34*0.302695736434109</f>
        <v>0</v>
      </c>
      <c r="AF34" s="37">
        <f>G34*(1-0.302695736434109)</f>
        <v>0</v>
      </c>
      <c r="AM34" s="37">
        <f>F34*AE34</f>
        <v>0</v>
      </c>
      <c r="AN34" s="37">
        <f>F34*AF34</f>
        <v>0</v>
      </c>
      <c r="AO34" s="38" t="s">
        <v>173</v>
      </c>
      <c r="AP34" s="38" t="s">
        <v>180</v>
      </c>
      <c r="AQ34" s="28" t="s">
        <v>184</v>
      </c>
    </row>
    <row r="35" spans="1:43" ht="12.75">
      <c r="A35" s="5" t="s">
        <v>17</v>
      </c>
      <c r="B35" s="5" t="s">
        <v>36</v>
      </c>
      <c r="C35" s="5" t="s">
        <v>51</v>
      </c>
      <c r="D35" s="5" t="s">
        <v>98</v>
      </c>
      <c r="E35" s="5" t="s">
        <v>133</v>
      </c>
      <c r="F35" s="19">
        <v>195</v>
      </c>
      <c r="G35" s="19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</v>
      </c>
      <c r="L35" s="19">
        <f>F35*K35</f>
        <v>0</v>
      </c>
      <c r="M35" s="32" t="s">
        <v>152</v>
      </c>
      <c r="N35" s="32" t="s">
        <v>7</v>
      </c>
      <c r="O35" s="19">
        <f>IF(N35="5",I35,0)</f>
        <v>0</v>
      </c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37">
        <v>21</v>
      </c>
      <c r="AE35" s="37">
        <f>G35*0.354838709677419</f>
        <v>0</v>
      </c>
      <c r="AF35" s="37">
        <f>G35*(1-0.354838709677419)</f>
        <v>0</v>
      </c>
      <c r="AM35" s="37">
        <f>F35*AE35</f>
        <v>0</v>
      </c>
      <c r="AN35" s="37">
        <f>F35*AF35</f>
        <v>0</v>
      </c>
      <c r="AO35" s="38" t="s">
        <v>173</v>
      </c>
      <c r="AP35" s="38" t="s">
        <v>180</v>
      </c>
      <c r="AQ35" s="28" t="s">
        <v>184</v>
      </c>
    </row>
    <row r="36" spans="1:43" ht="12.75">
      <c r="A36" s="5" t="s">
        <v>18</v>
      </c>
      <c r="B36" s="5" t="s">
        <v>36</v>
      </c>
      <c r="C36" s="5" t="s">
        <v>52</v>
      </c>
      <c r="D36" s="5" t="s">
        <v>99</v>
      </c>
      <c r="E36" s="5" t="s">
        <v>134</v>
      </c>
      <c r="F36" s="19">
        <v>7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0.16502</v>
      </c>
      <c r="L36" s="19">
        <f>F36*K36</f>
        <v>1.15514</v>
      </c>
      <c r="M36" s="32" t="s">
        <v>152</v>
      </c>
      <c r="N36" s="32" t="s">
        <v>7</v>
      </c>
      <c r="O36" s="19">
        <f>IF(N36="5",I36,0)</f>
        <v>0</v>
      </c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7">
        <v>21</v>
      </c>
      <c r="AE36" s="37">
        <f>G36*0.830851851851852</f>
        <v>0</v>
      </c>
      <c r="AF36" s="37">
        <f>G36*(1-0.830851851851852)</f>
        <v>0</v>
      </c>
      <c r="AM36" s="37">
        <f>F36*AE36</f>
        <v>0</v>
      </c>
      <c r="AN36" s="37">
        <f>F36*AF36</f>
        <v>0</v>
      </c>
      <c r="AO36" s="38" t="s">
        <v>173</v>
      </c>
      <c r="AP36" s="38" t="s">
        <v>180</v>
      </c>
      <c r="AQ36" s="28" t="s">
        <v>184</v>
      </c>
    </row>
    <row r="37" spans="1:37" ht="12.75">
      <c r="A37" s="4"/>
      <c r="B37" s="14" t="s">
        <v>36</v>
      </c>
      <c r="C37" s="14" t="s">
        <v>53</v>
      </c>
      <c r="D37" s="65" t="s">
        <v>100</v>
      </c>
      <c r="E37" s="66"/>
      <c r="F37" s="66"/>
      <c r="G37" s="66"/>
      <c r="H37" s="40">
        <f>SUM(H38:H40)</f>
        <v>0</v>
      </c>
      <c r="I37" s="40">
        <f>SUM(I38:I40)</f>
        <v>0</v>
      </c>
      <c r="J37" s="40">
        <f>H37+I37</f>
        <v>0</v>
      </c>
      <c r="K37" s="28"/>
      <c r="L37" s="40">
        <f>SUM(L38:L40)</f>
        <v>1.24944</v>
      </c>
      <c r="M37" s="28"/>
      <c r="P37" s="40">
        <f>IF(Q37="PR",J37,SUM(O38:O40))</f>
        <v>0</v>
      </c>
      <c r="Q37" s="28" t="s">
        <v>157</v>
      </c>
      <c r="R37" s="40">
        <f>IF(Q37="HS",H37,0)</f>
        <v>0</v>
      </c>
      <c r="S37" s="40">
        <f>IF(Q37="HS",I37-P37,0)</f>
        <v>0</v>
      </c>
      <c r="T37" s="40">
        <f>IF(Q37="PS",H37,0)</f>
        <v>0</v>
      </c>
      <c r="U37" s="40">
        <f>IF(Q37="PS",I37-P37,0)</f>
        <v>0</v>
      </c>
      <c r="V37" s="40">
        <f>IF(Q37="MP",H37,0)</f>
        <v>0</v>
      </c>
      <c r="W37" s="40">
        <f>IF(Q37="MP",I37-P37,0)</f>
        <v>0</v>
      </c>
      <c r="X37" s="40">
        <f>IF(Q37="OM",H37,0)</f>
        <v>0</v>
      </c>
      <c r="Y37" s="28" t="s">
        <v>36</v>
      </c>
      <c r="AI37" s="40">
        <f>SUM(Z38:Z40)</f>
        <v>0</v>
      </c>
      <c r="AJ37" s="40">
        <f>SUM(AA38:AA40)</f>
        <v>0</v>
      </c>
      <c r="AK37" s="40">
        <f>SUM(AB38:AB40)</f>
        <v>0</v>
      </c>
    </row>
    <row r="38" spans="1:43" ht="12.75">
      <c r="A38" s="5" t="s">
        <v>19</v>
      </c>
      <c r="B38" s="5" t="s">
        <v>36</v>
      </c>
      <c r="C38" s="5" t="s">
        <v>54</v>
      </c>
      <c r="D38" s="5" t="s">
        <v>101</v>
      </c>
      <c r="E38" s="5" t="s">
        <v>133</v>
      </c>
      <c r="F38" s="19">
        <v>2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0.62472</v>
      </c>
      <c r="L38" s="19">
        <f>F38*K38</f>
        <v>1.24944</v>
      </c>
      <c r="M38" s="32" t="s">
        <v>152</v>
      </c>
      <c r="N38" s="32" t="s">
        <v>7</v>
      </c>
      <c r="O38" s="19">
        <f>IF(N38="5",I38,0)</f>
        <v>0</v>
      </c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7">
        <v>21</v>
      </c>
      <c r="AE38" s="37">
        <f>G38*0.499039711191336</f>
        <v>0</v>
      </c>
      <c r="AF38" s="37">
        <f>G38*(1-0.499039711191336)</f>
        <v>0</v>
      </c>
      <c r="AM38" s="37">
        <f>F38*AE38</f>
        <v>0</v>
      </c>
      <c r="AN38" s="37">
        <f>F38*AF38</f>
        <v>0</v>
      </c>
      <c r="AO38" s="38" t="s">
        <v>174</v>
      </c>
      <c r="AP38" s="38" t="s">
        <v>181</v>
      </c>
      <c r="AQ38" s="28" t="s">
        <v>184</v>
      </c>
    </row>
    <row r="39" spans="3:13" ht="12.75">
      <c r="C39" s="16" t="s">
        <v>34</v>
      </c>
      <c r="D39" s="67" t="s">
        <v>102</v>
      </c>
      <c r="E39" s="68"/>
      <c r="F39" s="68"/>
      <c r="G39" s="68"/>
      <c r="H39" s="68"/>
      <c r="I39" s="68"/>
      <c r="J39" s="68"/>
      <c r="K39" s="68"/>
      <c r="L39" s="68"/>
      <c r="M39" s="68"/>
    </row>
    <row r="40" spans="1:43" ht="12.75">
      <c r="A40" s="5" t="s">
        <v>20</v>
      </c>
      <c r="B40" s="5" t="s">
        <v>36</v>
      </c>
      <c r="C40" s="5" t="s">
        <v>55</v>
      </c>
      <c r="D40" s="5" t="s">
        <v>103</v>
      </c>
      <c r="E40" s="5" t="s">
        <v>135</v>
      </c>
      <c r="F40" s="19">
        <v>28.04016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</v>
      </c>
      <c r="L40" s="19">
        <f>F40*K40</f>
        <v>0</v>
      </c>
      <c r="M40" s="32" t="s">
        <v>152</v>
      </c>
      <c r="N40" s="32" t="s">
        <v>11</v>
      </c>
      <c r="O40" s="19">
        <f>IF(N40="5",I40,0)</f>
        <v>0</v>
      </c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7">
        <v>21</v>
      </c>
      <c r="AE40" s="37">
        <f>G40*0</f>
        <v>0</v>
      </c>
      <c r="AF40" s="37">
        <f>G40*(1-0)</f>
        <v>0</v>
      </c>
      <c r="AM40" s="37">
        <f>F40*AE40</f>
        <v>0</v>
      </c>
      <c r="AN40" s="37">
        <f>F40*AF40</f>
        <v>0</v>
      </c>
      <c r="AO40" s="38" t="s">
        <v>174</v>
      </c>
      <c r="AP40" s="38" t="s">
        <v>181</v>
      </c>
      <c r="AQ40" s="28" t="s">
        <v>184</v>
      </c>
    </row>
    <row r="41" spans="1:37" ht="12.75">
      <c r="A41" s="4"/>
      <c r="B41" s="14" t="s">
        <v>36</v>
      </c>
      <c r="C41" s="14" t="s">
        <v>56</v>
      </c>
      <c r="D41" s="65" t="s">
        <v>104</v>
      </c>
      <c r="E41" s="66"/>
      <c r="F41" s="66"/>
      <c r="G41" s="66"/>
      <c r="H41" s="40">
        <f>SUM(H42:H42)</f>
        <v>0</v>
      </c>
      <c r="I41" s="40">
        <f>SUM(I42:I42)</f>
        <v>0</v>
      </c>
      <c r="J41" s="40">
        <f>H41+I41</f>
        <v>0</v>
      </c>
      <c r="K41" s="28"/>
      <c r="L41" s="40">
        <f>SUM(L42:L42)</f>
        <v>0.006</v>
      </c>
      <c r="M41" s="28"/>
      <c r="P41" s="40">
        <f>IF(Q41="PR",J41,SUM(O42:O42))</f>
        <v>0</v>
      </c>
      <c r="Q41" s="28" t="s">
        <v>158</v>
      </c>
      <c r="R41" s="40">
        <f>IF(Q41="HS",H41,0)</f>
        <v>0</v>
      </c>
      <c r="S41" s="40">
        <f>IF(Q41="HS",I41-P41,0)</f>
        <v>0</v>
      </c>
      <c r="T41" s="40">
        <f>IF(Q41="PS",H41,0)</f>
        <v>0</v>
      </c>
      <c r="U41" s="40">
        <f>IF(Q41="PS",I41-P41,0)</f>
        <v>0</v>
      </c>
      <c r="V41" s="40">
        <f>IF(Q41="MP",H41,0)</f>
        <v>0</v>
      </c>
      <c r="W41" s="40">
        <f>IF(Q41="MP",I41-P41,0)</f>
        <v>0</v>
      </c>
      <c r="X41" s="40">
        <f>IF(Q41="OM",H41,0)</f>
        <v>0</v>
      </c>
      <c r="Y41" s="28" t="s">
        <v>36</v>
      </c>
      <c r="AI41" s="40">
        <f>SUM(Z42:Z42)</f>
        <v>0</v>
      </c>
      <c r="AJ41" s="40">
        <f>SUM(AA42:AA42)</f>
        <v>0</v>
      </c>
      <c r="AK41" s="40">
        <f>SUM(AB42:AB42)</f>
        <v>0</v>
      </c>
    </row>
    <row r="42" spans="1:43" ht="12.75">
      <c r="A42" s="5" t="s">
        <v>21</v>
      </c>
      <c r="B42" s="5" t="s">
        <v>36</v>
      </c>
      <c r="C42" s="5" t="s">
        <v>57</v>
      </c>
      <c r="D42" s="5" t="s">
        <v>105</v>
      </c>
      <c r="E42" s="5" t="s">
        <v>131</v>
      </c>
      <c r="F42" s="19">
        <v>300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2E-05</v>
      </c>
      <c r="L42" s="19">
        <f>F42*K42</f>
        <v>0.006</v>
      </c>
      <c r="M42" s="32" t="s">
        <v>152</v>
      </c>
      <c r="N42" s="32" t="s">
        <v>8</v>
      </c>
      <c r="O42" s="19">
        <f>IF(N42="5",I42,0)</f>
        <v>0</v>
      </c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7">
        <v>21</v>
      </c>
      <c r="AE42" s="37">
        <f>G42*0.160420775805391</f>
        <v>0</v>
      </c>
      <c r="AF42" s="37">
        <f>G42*(1-0.160420775805391)</f>
        <v>0</v>
      </c>
      <c r="AM42" s="37">
        <f>F42*AE42</f>
        <v>0</v>
      </c>
      <c r="AN42" s="37">
        <f>F42*AF42</f>
        <v>0</v>
      </c>
      <c r="AO42" s="38" t="s">
        <v>175</v>
      </c>
      <c r="AP42" s="38" t="s">
        <v>181</v>
      </c>
      <c r="AQ42" s="28" t="s">
        <v>184</v>
      </c>
    </row>
    <row r="43" spans="3:13" ht="12.75">
      <c r="C43" s="16" t="s">
        <v>34</v>
      </c>
      <c r="D43" s="67" t="s">
        <v>106</v>
      </c>
      <c r="E43" s="68"/>
      <c r="F43" s="68"/>
      <c r="G43" s="68"/>
      <c r="H43" s="68"/>
      <c r="I43" s="68"/>
      <c r="J43" s="68"/>
      <c r="K43" s="68"/>
      <c r="L43" s="68"/>
      <c r="M43" s="68"/>
    </row>
    <row r="44" spans="1:37" ht="12.75">
      <c r="A44" s="4"/>
      <c r="B44" s="14" t="s">
        <v>36</v>
      </c>
      <c r="C44" s="14"/>
      <c r="D44" s="65" t="s">
        <v>107</v>
      </c>
      <c r="E44" s="66"/>
      <c r="F44" s="66"/>
      <c r="G44" s="66"/>
      <c r="H44" s="40">
        <f>SUM(H45:H45)</f>
        <v>0</v>
      </c>
      <c r="I44" s="40">
        <f>SUM(I45:I45)</f>
        <v>0</v>
      </c>
      <c r="J44" s="40">
        <f>H44+I44</f>
        <v>0</v>
      </c>
      <c r="K44" s="28"/>
      <c r="L44" s="40">
        <f>SUM(L45:L45)</f>
        <v>108.55</v>
      </c>
      <c r="M44" s="28"/>
      <c r="P44" s="40">
        <f>IF(Q44="PR",J44,SUM(O45:O45))</f>
        <v>0</v>
      </c>
      <c r="Q44" s="28" t="s">
        <v>159</v>
      </c>
      <c r="R44" s="40">
        <f>IF(Q44="HS",H44,0)</f>
        <v>0</v>
      </c>
      <c r="S44" s="40">
        <f>IF(Q44="HS",I44-P44,0)</f>
        <v>0</v>
      </c>
      <c r="T44" s="40">
        <f>IF(Q44="PS",H44,0)</f>
        <v>0</v>
      </c>
      <c r="U44" s="40">
        <f>IF(Q44="PS",I44-P44,0)</f>
        <v>0</v>
      </c>
      <c r="V44" s="40">
        <f>IF(Q44="MP",H44,0)</f>
        <v>0</v>
      </c>
      <c r="W44" s="40">
        <f>IF(Q44="MP",I44-P44,0)</f>
        <v>0</v>
      </c>
      <c r="X44" s="40">
        <f>IF(Q44="OM",H44,0)</f>
        <v>0</v>
      </c>
      <c r="Y44" s="28" t="s">
        <v>36</v>
      </c>
      <c r="AI44" s="40">
        <f>SUM(Z45:Z45)</f>
        <v>0</v>
      </c>
      <c r="AJ44" s="40">
        <f>SUM(AA45:AA45)</f>
        <v>0</v>
      </c>
      <c r="AK44" s="40">
        <f>SUM(AB45:AB45)</f>
        <v>0</v>
      </c>
    </row>
    <row r="45" spans="1:43" ht="12.75">
      <c r="A45" s="6" t="s">
        <v>22</v>
      </c>
      <c r="B45" s="6" t="s">
        <v>36</v>
      </c>
      <c r="C45" s="6" t="s">
        <v>58</v>
      </c>
      <c r="D45" s="6" t="s">
        <v>108</v>
      </c>
      <c r="E45" s="6" t="s">
        <v>132</v>
      </c>
      <c r="F45" s="20">
        <v>65</v>
      </c>
      <c r="G45" s="20">
        <v>0</v>
      </c>
      <c r="H45" s="20">
        <f>F45*AE45</f>
        <v>0</v>
      </c>
      <c r="I45" s="20">
        <f>J45-H45</f>
        <v>0</v>
      </c>
      <c r="J45" s="20">
        <f>F45*G45</f>
        <v>0</v>
      </c>
      <c r="K45" s="20">
        <v>1.67</v>
      </c>
      <c r="L45" s="20">
        <f>F45*K45</f>
        <v>108.55</v>
      </c>
      <c r="M45" s="33" t="s">
        <v>152</v>
      </c>
      <c r="N45" s="33" t="s">
        <v>154</v>
      </c>
      <c r="O45" s="20">
        <f>IF(N45="5",I45,0)</f>
        <v>0</v>
      </c>
      <c r="Z45" s="20">
        <f>IF(AD45=0,J45,0)</f>
        <v>0</v>
      </c>
      <c r="AA45" s="20">
        <f>IF(AD45=15,J45,0)</f>
        <v>0</v>
      </c>
      <c r="AB45" s="20">
        <f>IF(AD45=21,J45,0)</f>
        <v>0</v>
      </c>
      <c r="AD45" s="37">
        <v>21</v>
      </c>
      <c r="AE45" s="37">
        <f>G45*1</f>
        <v>0</v>
      </c>
      <c r="AF45" s="37">
        <f>G45*(1-1)</f>
        <v>0</v>
      </c>
      <c r="AM45" s="37">
        <f>F45*AE45</f>
        <v>0</v>
      </c>
      <c r="AN45" s="37">
        <f>F45*AF45</f>
        <v>0</v>
      </c>
      <c r="AO45" s="38" t="s">
        <v>176</v>
      </c>
      <c r="AP45" s="38" t="s">
        <v>182</v>
      </c>
      <c r="AQ45" s="28" t="s">
        <v>184</v>
      </c>
    </row>
    <row r="46" spans="3:13" ht="12.75">
      <c r="C46" s="16" t="s">
        <v>34</v>
      </c>
      <c r="D46" s="67" t="s">
        <v>109</v>
      </c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2.75">
      <c r="A47" s="7"/>
      <c r="B47" s="15" t="s">
        <v>37</v>
      </c>
      <c r="C47" s="15"/>
      <c r="D47" s="71" t="s">
        <v>110</v>
      </c>
      <c r="E47" s="72"/>
      <c r="F47" s="72"/>
      <c r="G47" s="72"/>
      <c r="H47" s="41">
        <f>H48+H52+H57+H60+H64</f>
        <v>0</v>
      </c>
      <c r="I47" s="41">
        <f>I48+I52+I57+I60+I64</f>
        <v>0</v>
      </c>
      <c r="J47" s="41">
        <f>H47+I47</f>
        <v>0</v>
      </c>
      <c r="K47" s="29"/>
      <c r="L47" s="41">
        <f>L48+L52+L57+L60+L64</f>
        <v>197.38923999999997</v>
      </c>
      <c r="M47" s="29"/>
    </row>
    <row r="48" spans="1:37" ht="12.75">
      <c r="A48" s="4"/>
      <c r="B48" s="14" t="s">
        <v>37</v>
      </c>
      <c r="C48" s="14" t="s">
        <v>59</v>
      </c>
      <c r="D48" s="65" t="s">
        <v>111</v>
      </c>
      <c r="E48" s="66"/>
      <c r="F48" s="66"/>
      <c r="G48" s="66"/>
      <c r="H48" s="40">
        <f>SUM(H49:H51)</f>
        <v>0</v>
      </c>
      <c r="I48" s="40">
        <f>SUM(I49:I51)</f>
        <v>0</v>
      </c>
      <c r="J48" s="40">
        <f>H48+I48</f>
        <v>0</v>
      </c>
      <c r="K48" s="28"/>
      <c r="L48" s="40">
        <f>SUM(L49:L51)</f>
        <v>56.628750000000004</v>
      </c>
      <c r="M48" s="28"/>
      <c r="P48" s="40">
        <f>IF(Q48="PR",J48,SUM(O49:O51))</f>
        <v>0</v>
      </c>
      <c r="Q48" s="28" t="s">
        <v>157</v>
      </c>
      <c r="R48" s="40">
        <f>IF(Q48="HS",H48,0)</f>
        <v>0</v>
      </c>
      <c r="S48" s="40">
        <f>IF(Q48="HS",I48-P48,0)</f>
        <v>0</v>
      </c>
      <c r="T48" s="40">
        <f>IF(Q48="PS",H48,0)</f>
        <v>0</v>
      </c>
      <c r="U48" s="40">
        <f>IF(Q48="PS",I48-P48,0)</f>
        <v>0</v>
      </c>
      <c r="V48" s="40">
        <f>IF(Q48="MP",H48,0)</f>
        <v>0</v>
      </c>
      <c r="W48" s="40">
        <f>IF(Q48="MP",I48-P48,0)</f>
        <v>0</v>
      </c>
      <c r="X48" s="40">
        <f>IF(Q48="OM",H48,0)</f>
        <v>0</v>
      </c>
      <c r="Y48" s="28" t="s">
        <v>37</v>
      </c>
      <c r="AI48" s="40">
        <f>SUM(Z49:Z51)</f>
        <v>0</v>
      </c>
      <c r="AJ48" s="40">
        <f>SUM(AA49:AA51)</f>
        <v>0</v>
      </c>
      <c r="AK48" s="40">
        <f>SUM(AB49:AB51)</f>
        <v>0</v>
      </c>
    </row>
    <row r="49" spans="1:43" ht="12.75">
      <c r="A49" s="5" t="s">
        <v>23</v>
      </c>
      <c r="B49" s="5" t="s">
        <v>37</v>
      </c>
      <c r="C49" s="5" t="s">
        <v>60</v>
      </c>
      <c r="D49" s="5" t="s">
        <v>112</v>
      </c>
      <c r="E49" s="5" t="s">
        <v>131</v>
      </c>
      <c r="F49" s="19">
        <v>100</v>
      </c>
      <c r="G49" s="19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0.19695</v>
      </c>
      <c r="L49" s="19">
        <f>F49*K49</f>
        <v>19.695</v>
      </c>
      <c r="M49" s="32" t="s">
        <v>153</v>
      </c>
      <c r="N49" s="32" t="s">
        <v>7</v>
      </c>
      <c r="O49" s="19">
        <f>IF(N49="5",I49,0)</f>
        <v>0</v>
      </c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37">
        <v>21</v>
      </c>
      <c r="AE49" s="37">
        <f>G49*0.754198473282443</f>
        <v>0</v>
      </c>
      <c r="AF49" s="37">
        <f>G49*(1-0.754198473282443)</f>
        <v>0</v>
      </c>
      <c r="AM49" s="37">
        <f>F49*AE49</f>
        <v>0</v>
      </c>
      <c r="AN49" s="37">
        <f>F49*AF49</f>
        <v>0</v>
      </c>
      <c r="AO49" s="38" t="s">
        <v>177</v>
      </c>
      <c r="AP49" s="38" t="s">
        <v>183</v>
      </c>
      <c r="AQ49" s="28" t="s">
        <v>185</v>
      </c>
    </row>
    <row r="50" spans="1:43" ht="12.75">
      <c r="A50" s="5" t="s">
        <v>24</v>
      </c>
      <c r="B50" s="5" t="s">
        <v>37</v>
      </c>
      <c r="C50" s="5" t="s">
        <v>61</v>
      </c>
      <c r="D50" s="5" t="s">
        <v>113</v>
      </c>
      <c r="E50" s="5" t="s">
        <v>131</v>
      </c>
      <c r="F50" s="19">
        <v>100</v>
      </c>
      <c r="G50" s="19">
        <v>0</v>
      </c>
      <c r="H50" s="19">
        <f>F50*AE50</f>
        <v>0</v>
      </c>
      <c r="I50" s="19">
        <f>J50-H50</f>
        <v>0</v>
      </c>
      <c r="J50" s="19">
        <f>F50*G50</f>
        <v>0</v>
      </c>
      <c r="K50" s="19">
        <v>0</v>
      </c>
      <c r="L50" s="19">
        <f>F50*K50</f>
        <v>0</v>
      </c>
      <c r="M50" s="32" t="s">
        <v>153</v>
      </c>
      <c r="N50" s="32" t="s">
        <v>7</v>
      </c>
      <c r="O50" s="19">
        <f>IF(N50="5",I50,0)</f>
        <v>0</v>
      </c>
      <c r="Z50" s="19">
        <f>IF(AD50=0,J50,0)</f>
        <v>0</v>
      </c>
      <c r="AA50" s="19">
        <f>IF(AD50=15,J50,0)</f>
        <v>0</v>
      </c>
      <c r="AB50" s="19">
        <f>IF(AD50=21,J50,0)</f>
        <v>0</v>
      </c>
      <c r="AD50" s="37">
        <v>21</v>
      </c>
      <c r="AE50" s="37">
        <f>G50*0.0137810072663493</f>
        <v>0</v>
      </c>
      <c r="AF50" s="37">
        <f>G50*(1-0.0137810072663493)</f>
        <v>0</v>
      </c>
      <c r="AM50" s="37">
        <f>F50*AE50</f>
        <v>0</v>
      </c>
      <c r="AN50" s="37">
        <f>F50*AF50</f>
        <v>0</v>
      </c>
      <c r="AO50" s="38" t="s">
        <v>177</v>
      </c>
      <c r="AP50" s="38" t="s">
        <v>183</v>
      </c>
      <c r="AQ50" s="28" t="s">
        <v>185</v>
      </c>
    </row>
    <row r="51" spans="1:43" ht="12.75">
      <c r="A51" s="5" t="s">
        <v>25</v>
      </c>
      <c r="B51" s="5" t="s">
        <v>37</v>
      </c>
      <c r="C51" s="5" t="s">
        <v>62</v>
      </c>
      <c r="D51" s="5" t="s">
        <v>114</v>
      </c>
      <c r="E51" s="5" t="s">
        <v>131</v>
      </c>
      <c r="F51" s="19">
        <v>335</v>
      </c>
      <c r="G51" s="19">
        <v>0</v>
      </c>
      <c r="H51" s="19">
        <f>F51*AE51</f>
        <v>0</v>
      </c>
      <c r="I51" s="19">
        <f>J51-H51</f>
        <v>0</v>
      </c>
      <c r="J51" s="19">
        <f>F51*G51</f>
        <v>0</v>
      </c>
      <c r="K51" s="19">
        <v>0.11025</v>
      </c>
      <c r="L51" s="19">
        <f>F51*K51</f>
        <v>36.93375</v>
      </c>
      <c r="M51" s="32" t="s">
        <v>153</v>
      </c>
      <c r="N51" s="32" t="s">
        <v>7</v>
      </c>
      <c r="O51" s="19">
        <f>IF(N51="5",I51,0)</f>
        <v>0</v>
      </c>
      <c r="Z51" s="19">
        <f>IF(AD51=0,J51,0)</f>
        <v>0</v>
      </c>
      <c r="AA51" s="19">
        <f>IF(AD51=15,J51,0)</f>
        <v>0</v>
      </c>
      <c r="AB51" s="19">
        <f>IF(AD51=21,J51,0)</f>
        <v>0</v>
      </c>
      <c r="AD51" s="37">
        <v>21</v>
      </c>
      <c r="AE51" s="37">
        <f>G51*0.692896174863388</f>
        <v>0</v>
      </c>
      <c r="AF51" s="37">
        <f>G51*(1-0.692896174863388)</f>
        <v>0</v>
      </c>
      <c r="AM51" s="37">
        <f>F51*AE51</f>
        <v>0</v>
      </c>
      <c r="AN51" s="37">
        <f>F51*AF51</f>
        <v>0</v>
      </c>
      <c r="AO51" s="38" t="s">
        <v>177</v>
      </c>
      <c r="AP51" s="38" t="s">
        <v>183</v>
      </c>
      <c r="AQ51" s="28" t="s">
        <v>185</v>
      </c>
    </row>
    <row r="52" spans="1:37" ht="12.75">
      <c r="A52" s="4"/>
      <c r="B52" s="14" t="s">
        <v>37</v>
      </c>
      <c r="C52" s="14" t="s">
        <v>63</v>
      </c>
      <c r="D52" s="65" t="s">
        <v>115</v>
      </c>
      <c r="E52" s="66"/>
      <c r="F52" s="66"/>
      <c r="G52" s="66"/>
      <c r="H52" s="40">
        <f>SUM(H53:H56)</f>
        <v>0</v>
      </c>
      <c r="I52" s="40">
        <f>SUM(I53:I56)</f>
        <v>0</v>
      </c>
      <c r="J52" s="40">
        <f>H52+I52</f>
        <v>0</v>
      </c>
      <c r="K52" s="28"/>
      <c r="L52" s="40">
        <f>SUM(L53:L56)</f>
        <v>97.80994999999999</v>
      </c>
      <c r="M52" s="28"/>
      <c r="P52" s="40">
        <f>IF(Q52="PR",J52,SUM(O53:O56))</f>
        <v>0</v>
      </c>
      <c r="Q52" s="28" t="s">
        <v>157</v>
      </c>
      <c r="R52" s="40">
        <f>IF(Q52="HS",H52,0)</f>
        <v>0</v>
      </c>
      <c r="S52" s="40">
        <f>IF(Q52="HS",I52-P52,0)</f>
        <v>0</v>
      </c>
      <c r="T52" s="40">
        <f>IF(Q52="PS",H52,0)</f>
        <v>0</v>
      </c>
      <c r="U52" s="40">
        <f>IF(Q52="PS",I52-P52,0)</f>
        <v>0</v>
      </c>
      <c r="V52" s="40">
        <f>IF(Q52="MP",H52,0)</f>
        <v>0</v>
      </c>
      <c r="W52" s="40">
        <f>IF(Q52="MP",I52-P52,0)</f>
        <v>0</v>
      </c>
      <c r="X52" s="40">
        <f>IF(Q52="OM",H52,0)</f>
        <v>0</v>
      </c>
      <c r="Y52" s="28" t="s">
        <v>37</v>
      </c>
      <c r="AI52" s="40">
        <f>SUM(Z53:Z56)</f>
        <v>0</v>
      </c>
      <c r="AJ52" s="40">
        <f>SUM(AA53:AA56)</f>
        <v>0</v>
      </c>
      <c r="AK52" s="40">
        <f>SUM(AB53:AB56)</f>
        <v>0</v>
      </c>
    </row>
    <row r="53" spans="1:43" ht="12.75">
      <c r="A53" s="5" t="s">
        <v>26</v>
      </c>
      <c r="B53" s="5" t="s">
        <v>37</v>
      </c>
      <c r="C53" s="5" t="s">
        <v>64</v>
      </c>
      <c r="D53" s="5" t="s">
        <v>116</v>
      </c>
      <c r="E53" s="5" t="s">
        <v>131</v>
      </c>
      <c r="F53" s="19">
        <v>335</v>
      </c>
      <c r="G53" s="19">
        <v>0</v>
      </c>
      <c r="H53" s="19">
        <f>F53*AE53</f>
        <v>0</v>
      </c>
      <c r="I53" s="19">
        <f>J53-H53</f>
        <v>0</v>
      </c>
      <c r="J53" s="19">
        <f>F53*G53</f>
        <v>0</v>
      </c>
      <c r="K53" s="19">
        <v>0.00601</v>
      </c>
      <c r="L53" s="19">
        <f>F53*K53</f>
        <v>2.01335</v>
      </c>
      <c r="M53" s="32" t="s">
        <v>153</v>
      </c>
      <c r="N53" s="32" t="s">
        <v>7</v>
      </c>
      <c r="O53" s="19">
        <f>IF(N53="5",I53,0)</f>
        <v>0</v>
      </c>
      <c r="Z53" s="19">
        <f>IF(AD53=0,J53,0)</f>
        <v>0</v>
      </c>
      <c r="AA53" s="19">
        <f>IF(AD53=15,J53,0)</f>
        <v>0</v>
      </c>
      <c r="AB53" s="19">
        <f>IF(AD53=21,J53,0)</f>
        <v>0</v>
      </c>
      <c r="AD53" s="37">
        <v>21</v>
      </c>
      <c r="AE53" s="37">
        <f>G53*0.910774410774411</f>
        <v>0</v>
      </c>
      <c r="AF53" s="37">
        <f>G53*(1-0.910774410774411)</f>
        <v>0</v>
      </c>
      <c r="AM53" s="37">
        <f>F53*AE53</f>
        <v>0</v>
      </c>
      <c r="AN53" s="37">
        <f>F53*AF53</f>
        <v>0</v>
      </c>
      <c r="AO53" s="38" t="s">
        <v>178</v>
      </c>
      <c r="AP53" s="38" t="s">
        <v>183</v>
      </c>
      <c r="AQ53" s="28" t="s">
        <v>185</v>
      </c>
    </row>
    <row r="54" spans="1:43" ht="12.75">
      <c r="A54" s="5" t="s">
        <v>27</v>
      </c>
      <c r="B54" s="5" t="s">
        <v>37</v>
      </c>
      <c r="C54" s="5" t="s">
        <v>65</v>
      </c>
      <c r="D54" s="5" t="s">
        <v>117</v>
      </c>
      <c r="E54" s="5" t="s">
        <v>131</v>
      </c>
      <c r="F54" s="19">
        <v>335</v>
      </c>
      <c r="G54" s="19">
        <v>0</v>
      </c>
      <c r="H54" s="19">
        <f>F54*AE54</f>
        <v>0</v>
      </c>
      <c r="I54" s="19">
        <f>J54-H54</f>
        <v>0</v>
      </c>
      <c r="J54" s="19">
        <f>F54*G54</f>
        <v>0</v>
      </c>
      <c r="K54" s="19">
        <v>0.00071</v>
      </c>
      <c r="L54" s="19">
        <f>F54*K54</f>
        <v>0.23785</v>
      </c>
      <c r="M54" s="32" t="s">
        <v>153</v>
      </c>
      <c r="N54" s="32" t="s">
        <v>7</v>
      </c>
      <c r="O54" s="19">
        <f>IF(N54="5",I54,0)</f>
        <v>0</v>
      </c>
      <c r="Z54" s="19">
        <f>IF(AD54=0,J54,0)</f>
        <v>0</v>
      </c>
      <c r="AA54" s="19">
        <f>IF(AD54=15,J54,0)</f>
        <v>0</v>
      </c>
      <c r="AB54" s="19">
        <f>IF(AD54=21,J54,0)</f>
        <v>0</v>
      </c>
      <c r="AD54" s="37">
        <v>21</v>
      </c>
      <c r="AE54" s="37">
        <f>G54*0.916326530612245</f>
        <v>0</v>
      </c>
      <c r="AF54" s="37">
        <f>G54*(1-0.916326530612245)</f>
        <v>0</v>
      </c>
      <c r="AM54" s="37">
        <f>F54*AE54</f>
        <v>0</v>
      </c>
      <c r="AN54" s="37">
        <f>F54*AF54</f>
        <v>0</v>
      </c>
      <c r="AO54" s="38" t="s">
        <v>178</v>
      </c>
      <c r="AP54" s="38" t="s">
        <v>183</v>
      </c>
      <c r="AQ54" s="28" t="s">
        <v>185</v>
      </c>
    </row>
    <row r="55" spans="1:43" ht="12.75">
      <c r="A55" s="5" t="s">
        <v>28</v>
      </c>
      <c r="B55" s="5" t="s">
        <v>37</v>
      </c>
      <c r="C55" s="5" t="s">
        <v>66</v>
      </c>
      <c r="D55" s="5" t="s">
        <v>118</v>
      </c>
      <c r="E55" s="5" t="s">
        <v>131</v>
      </c>
      <c r="F55" s="19">
        <v>335</v>
      </c>
      <c r="G55" s="19">
        <v>0</v>
      </c>
      <c r="H55" s="19">
        <f>F55*AE55</f>
        <v>0</v>
      </c>
      <c r="I55" s="19">
        <f>J55-H55</f>
        <v>0</v>
      </c>
      <c r="J55" s="19">
        <f>F55*G55</f>
        <v>0</v>
      </c>
      <c r="K55" s="19">
        <v>0.10373</v>
      </c>
      <c r="L55" s="19">
        <f>F55*K55</f>
        <v>34.74955</v>
      </c>
      <c r="M55" s="32" t="s">
        <v>153</v>
      </c>
      <c r="N55" s="32" t="s">
        <v>7</v>
      </c>
      <c r="O55" s="19">
        <f>IF(N55="5",I55,0)</f>
        <v>0</v>
      </c>
      <c r="Z55" s="19">
        <f>IF(AD55=0,J55,0)</f>
        <v>0</v>
      </c>
      <c r="AA55" s="19">
        <f>IF(AD55=15,J55,0)</f>
        <v>0</v>
      </c>
      <c r="AB55" s="19">
        <f>IF(AD55=21,J55,0)</f>
        <v>0</v>
      </c>
      <c r="AD55" s="37">
        <v>21</v>
      </c>
      <c r="AE55" s="37">
        <f>G55*0.623769338959212</f>
        <v>0</v>
      </c>
      <c r="AF55" s="37">
        <f>G55*(1-0.623769338959212)</f>
        <v>0</v>
      </c>
      <c r="AM55" s="37">
        <f>F55*AE55</f>
        <v>0</v>
      </c>
      <c r="AN55" s="37">
        <f>F55*AF55</f>
        <v>0</v>
      </c>
      <c r="AO55" s="38" t="s">
        <v>178</v>
      </c>
      <c r="AP55" s="38" t="s">
        <v>183</v>
      </c>
      <c r="AQ55" s="28" t="s">
        <v>185</v>
      </c>
    </row>
    <row r="56" spans="1:43" ht="12.75">
      <c r="A56" s="5" t="s">
        <v>29</v>
      </c>
      <c r="B56" s="5" t="s">
        <v>37</v>
      </c>
      <c r="C56" s="5" t="s">
        <v>67</v>
      </c>
      <c r="D56" s="5" t="s">
        <v>119</v>
      </c>
      <c r="E56" s="5" t="s">
        <v>131</v>
      </c>
      <c r="F56" s="19">
        <v>335</v>
      </c>
      <c r="G56" s="19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0.18152</v>
      </c>
      <c r="L56" s="19">
        <f>F56*K56</f>
        <v>60.8092</v>
      </c>
      <c r="M56" s="32" t="s">
        <v>153</v>
      </c>
      <c r="N56" s="32" t="s">
        <v>7</v>
      </c>
      <c r="O56" s="19">
        <f>IF(N56="5",I56,0)</f>
        <v>0</v>
      </c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37">
        <v>21</v>
      </c>
      <c r="AE56" s="37">
        <f>G56*0.631299145299145</f>
        <v>0</v>
      </c>
      <c r="AF56" s="37">
        <f>G56*(1-0.631299145299145)</f>
        <v>0</v>
      </c>
      <c r="AM56" s="37">
        <f>F56*AE56</f>
        <v>0</v>
      </c>
      <c r="AN56" s="37">
        <f>F56*AF56</f>
        <v>0</v>
      </c>
      <c r="AO56" s="38" t="s">
        <v>178</v>
      </c>
      <c r="AP56" s="38" t="s">
        <v>183</v>
      </c>
      <c r="AQ56" s="28" t="s">
        <v>185</v>
      </c>
    </row>
    <row r="57" spans="1:37" ht="12.75">
      <c r="A57" s="4"/>
      <c r="B57" s="14" t="s">
        <v>37</v>
      </c>
      <c r="C57" s="14" t="s">
        <v>48</v>
      </c>
      <c r="D57" s="65" t="s">
        <v>96</v>
      </c>
      <c r="E57" s="66"/>
      <c r="F57" s="66"/>
      <c r="G57" s="66"/>
      <c r="H57" s="40">
        <f>SUM(H58:H58)</f>
        <v>0</v>
      </c>
      <c r="I57" s="40">
        <f>SUM(I58:I58)</f>
        <v>0</v>
      </c>
      <c r="J57" s="40">
        <f>H57+I57</f>
        <v>0</v>
      </c>
      <c r="K57" s="28"/>
      <c r="L57" s="40">
        <f>SUM(L58:L58)</f>
        <v>1.58276</v>
      </c>
      <c r="M57" s="28"/>
      <c r="P57" s="40">
        <f>IF(Q57="PR",J57,SUM(O58:O58))</f>
        <v>0</v>
      </c>
      <c r="Q57" s="28" t="s">
        <v>157</v>
      </c>
      <c r="R57" s="40">
        <f>IF(Q57="HS",H57,0)</f>
        <v>0</v>
      </c>
      <c r="S57" s="40">
        <f>IF(Q57="HS",I57-P57,0)</f>
        <v>0</v>
      </c>
      <c r="T57" s="40">
        <f>IF(Q57="PS",H57,0)</f>
        <v>0</v>
      </c>
      <c r="U57" s="40">
        <f>IF(Q57="PS",I57-P57,0)</f>
        <v>0</v>
      </c>
      <c r="V57" s="40">
        <f>IF(Q57="MP",H57,0)</f>
        <v>0</v>
      </c>
      <c r="W57" s="40">
        <f>IF(Q57="MP",I57-P57,0)</f>
        <v>0</v>
      </c>
      <c r="X57" s="40">
        <f>IF(Q57="OM",H57,0)</f>
        <v>0</v>
      </c>
      <c r="Y57" s="28" t="s">
        <v>37</v>
      </c>
      <c r="AI57" s="40">
        <f>SUM(Z58:Z58)</f>
        <v>0</v>
      </c>
      <c r="AJ57" s="40">
        <f>SUM(AA58:AA58)</f>
        <v>0</v>
      </c>
      <c r="AK57" s="40">
        <f>SUM(AB58:AB58)</f>
        <v>0</v>
      </c>
    </row>
    <row r="58" spans="1:43" ht="12.75">
      <c r="A58" s="5" t="s">
        <v>30</v>
      </c>
      <c r="B58" s="5" t="s">
        <v>37</v>
      </c>
      <c r="C58" s="5" t="s">
        <v>68</v>
      </c>
      <c r="D58" s="5" t="s">
        <v>120</v>
      </c>
      <c r="E58" s="5" t="s">
        <v>134</v>
      </c>
      <c r="F58" s="19">
        <v>2</v>
      </c>
      <c r="G58" s="19">
        <v>0</v>
      </c>
      <c r="H58" s="19">
        <f>F58*AE58</f>
        <v>0</v>
      </c>
      <c r="I58" s="19">
        <f>J58-H58</f>
        <v>0</v>
      </c>
      <c r="J58" s="19">
        <f>F58*G58</f>
        <v>0</v>
      </c>
      <c r="K58" s="19">
        <v>0.79138</v>
      </c>
      <c r="L58" s="19">
        <f>F58*K58</f>
        <v>1.58276</v>
      </c>
      <c r="M58" s="32" t="s">
        <v>153</v>
      </c>
      <c r="N58" s="32" t="s">
        <v>9</v>
      </c>
      <c r="O58" s="19">
        <f>IF(N58="5",I58,0)</f>
        <v>0</v>
      </c>
      <c r="Z58" s="19">
        <f>IF(AD58=0,J58,0)</f>
        <v>0</v>
      </c>
      <c r="AA58" s="19">
        <f>IF(AD58=15,J58,0)</f>
        <v>0</v>
      </c>
      <c r="AB58" s="19">
        <f>IF(AD58=21,J58,0)</f>
        <v>0</v>
      </c>
      <c r="AD58" s="37">
        <v>21</v>
      </c>
      <c r="AE58" s="37">
        <f>G58*0.8225717606043</f>
        <v>0</v>
      </c>
      <c r="AF58" s="37">
        <f>G58*(1-0.8225717606043)</f>
        <v>0</v>
      </c>
      <c r="AM58" s="37">
        <f>F58*AE58</f>
        <v>0</v>
      </c>
      <c r="AN58" s="37">
        <f>F58*AF58</f>
        <v>0</v>
      </c>
      <c r="AO58" s="38" t="s">
        <v>173</v>
      </c>
      <c r="AP58" s="38" t="s">
        <v>180</v>
      </c>
      <c r="AQ58" s="28" t="s">
        <v>185</v>
      </c>
    </row>
    <row r="59" spans="3:13" ht="12.75">
      <c r="C59" s="16" t="s">
        <v>34</v>
      </c>
      <c r="D59" s="67" t="s">
        <v>121</v>
      </c>
      <c r="E59" s="68"/>
      <c r="F59" s="68"/>
      <c r="G59" s="68"/>
      <c r="H59" s="68"/>
      <c r="I59" s="68"/>
      <c r="J59" s="68"/>
      <c r="K59" s="68"/>
      <c r="L59" s="68"/>
      <c r="M59" s="68"/>
    </row>
    <row r="60" spans="1:37" ht="12.75">
      <c r="A60" s="4"/>
      <c r="B60" s="14" t="s">
        <v>37</v>
      </c>
      <c r="C60" s="14" t="s">
        <v>53</v>
      </c>
      <c r="D60" s="65" t="s">
        <v>100</v>
      </c>
      <c r="E60" s="66"/>
      <c r="F60" s="66"/>
      <c r="G60" s="66"/>
      <c r="H60" s="40">
        <f>SUM(H61:H63)</f>
        <v>0</v>
      </c>
      <c r="I60" s="40">
        <f>SUM(I61:I63)</f>
        <v>0</v>
      </c>
      <c r="J60" s="40">
        <f>H60+I60</f>
        <v>0</v>
      </c>
      <c r="K60" s="28"/>
      <c r="L60" s="40">
        <f>SUM(L61:L63)</f>
        <v>41.367779999999996</v>
      </c>
      <c r="M60" s="28"/>
      <c r="P60" s="40">
        <f>IF(Q60="PR",J60,SUM(O61:O63))</f>
        <v>0</v>
      </c>
      <c r="Q60" s="28" t="s">
        <v>157</v>
      </c>
      <c r="R60" s="40">
        <f>IF(Q60="HS",H60,0)</f>
        <v>0</v>
      </c>
      <c r="S60" s="40">
        <f>IF(Q60="HS",I60-P60,0)</f>
        <v>0</v>
      </c>
      <c r="T60" s="40">
        <f>IF(Q60="PS",H60,0)</f>
        <v>0</v>
      </c>
      <c r="U60" s="40">
        <f>IF(Q60="PS",I60-P60,0)</f>
        <v>0</v>
      </c>
      <c r="V60" s="40">
        <f>IF(Q60="MP",H60,0)</f>
        <v>0</v>
      </c>
      <c r="W60" s="40">
        <f>IF(Q60="MP",I60-P60,0)</f>
        <v>0</v>
      </c>
      <c r="X60" s="40">
        <f>IF(Q60="OM",H60,0)</f>
        <v>0</v>
      </c>
      <c r="Y60" s="28" t="s">
        <v>37</v>
      </c>
      <c r="AI60" s="40">
        <f>SUM(Z61:Z63)</f>
        <v>0</v>
      </c>
      <c r="AJ60" s="40">
        <f>SUM(AA61:AA63)</f>
        <v>0</v>
      </c>
      <c r="AK60" s="40">
        <f>SUM(AB61:AB63)</f>
        <v>0</v>
      </c>
    </row>
    <row r="61" spans="1:43" ht="12.75">
      <c r="A61" s="5" t="s">
        <v>31</v>
      </c>
      <c r="B61" s="5" t="s">
        <v>37</v>
      </c>
      <c r="C61" s="5" t="s">
        <v>69</v>
      </c>
      <c r="D61" s="5" t="s">
        <v>122</v>
      </c>
      <c r="E61" s="5" t="s">
        <v>133</v>
      </c>
      <c r="F61" s="19">
        <v>108</v>
      </c>
      <c r="G61" s="19">
        <v>0</v>
      </c>
      <c r="H61" s="19">
        <f>F61*AE61</f>
        <v>0</v>
      </c>
      <c r="I61" s="19">
        <f>J61-H61</f>
        <v>0</v>
      </c>
      <c r="J61" s="19">
        <f>F61*G61</f>
        <v>0</v>
      </c>
      <c r="K61" s="19">
        <v>0.26941</v>
      </c>
      <c r="L61" s="19">
        <f>F61*K61</f>
        <v>29.096279999999997</v>
      </c>
      <c r="M61" s="32" t="s">
        <v>153</v>
      </c>
      <c r="N61" s="32" t="s">
        <v>7</v>
      </c>
      <c r="O61" s="19">
        <f>IF(N61="5",I61,0)</f>
        <v>0</v>
      </c>
      <c r="Z61" s="19">
        <f>IF(AD61=0,J61,0)</f>
        <v>0</v>
      </c>
      <c r="AA61" s="19">
        <f>IF(AD61=15,J61,0)</f>
        <v>0</v>
      </c>
      <c r="AB61" s="19">
        <f>IF(AD61=21,J61,0)</f>
        <v>0</v>
      </c>
      <c r="AD61" s="37">
        <v>21</v>
      </c>
      <c r="AE61" s="37">
        <f>G61*0.762534435261708</f>
        <v>0</v>
      </c>
      <c r="AF61" s="37">
        <f>G61*(1-0.762534435261708)</f>
        <v>0</v>
      </c>
      <c r="AM61" s="37">
        <f>F61*AE61</f>
        <v>0</v>
      </c>
      <c r="AN61" s="37">
        <f>F61*AF61</f>
        <v>0</v>
      </c>
      <c r="AO61" s="38" t="s">
        <v>174</v>
      </c>
      <c r="AP61" s="38" t="s">
        <v>181</v>
      </c>
      <c r="AQ61" s="28" t="s">
        <v>185</v>
      </c>
    </row>
    <row r="62" spans="3:13" ht="12.75">
      <c r="C62" s="16" t="s">
        <v>34</v>
      </c>
      <c r="D62" s="67" t="s">
        <v>123</v>
      </c>
      <c r="E62" s="68"/>
      <c r="F62" s="68"/>
      <c r="G62" s="68"/>
      <c r="H62" s="68"/>
      <c r="I62" s="68"/>
      <c r="J62" s="68"/>
      <c r="K62" s="68"/>
      <c r="L62" s="68"/>
      <c r="M62" s="68"/>
    </row>
    <row r="63" spans="1:43" ht="12.75">
      <c r="A63" s="5" t="s">
        <v>32</v>
      </c>
      <c r="B63" s="5" t="s">
        <v>37</v>
      </c>
      <c r="C63" s="5" t="s">
        <v>70</v>
      </c>
      <c r="D63" s="5" t="s">
        <v>124</v>
      </c>
      <c r="E63" s="5" t="s">
        <v>132</v>
      </c>
      <c r="F63" s="19">
        <v>4.86</v>
      </c>
      <c r="G63" s="19">
        <v>0</v>
      </c>
      <c r="H63" s="19">
        <f>F63*AE63</f>
        <v>0</v>
      </c>
      <c r="I63" s="19">
        <f>J63-H63</f>
        <v>0</v>
      </c>
      <c r="J63" s="19">
        <f>F63*G63</f>
        <v>0</v>
      </c>
      <c r="K63" s="19">
        <v>2.525</v>
      </c>
      <c r="L63" s="19">
        <f>F63*K63</f>
        <v>12.2715</v>
      </c>
      <c r="M63" s="32" t="s">
        <v>153</v>
      </c>
      <c r="N63" s="32" t="s">
        <v>7</v>
      </c>
      <c r="O63" s="19">
        <f>IF(N63="5",I63,0)</f>
        <v>0</v>
      </c>
      <c r="Z63" s="19">
        <f>IF(AD63=0,J63,0)</f>
        <v>0</v>
      </c>
      <c r="AA63" s="19">
        <f>IF(AD63=15,J63,0)</f>
        <v>0</v>
      </c>
      <c r="AB63" s="19">
        <f>IF(AD63=21,J63,0)</f>
        <v>0</v>
      </c>
      <c r="AD63" s="37">
        <v>21</v>
      </c>
      <c r="AE63" s="37">
        <f>G63*0.829232067510548</f>
        <v>0</v>
      </c>
      <c r="AF63" s="37">
        <f>G63*(1-0.829232067510548)</f>
        <v>0</v>
      </c>
      <c r="AM63" s="37">
        <f>F63*AE63</f>
        <v>0</v>
      </c>
      <c r="AN63" s="37">
        <f>F63*AF63</f>
        <v>0</v>
      </c>
      <c r="AO63" s="38" t="s">
        <v>174</v>
      </c>
      <c r="AP63" s="38" t="s">
        <v>181</v>
      </c>
      <c r="AQ63" s="28" t="s">
        <v>185</v>
      </c>
    </row>
    <row r="64" spans="1:37" ht="12.75">
      <c r="A64" s="4"/>
      <c r="B64" s="14" t="s">
        <v>37</v>
      </c>
      <c r="C64" s="14" t="s">
        <v>56</v>
      </c>
      <c r="D64" s="65" t="s">
        <v>104</v>
      </c>
      <c r="E64" s="66"/>
      <c r="F64" s="66"/>
      <c r="G64" s="66"/>
      <c r="H64" s="40">
        <f>SUM(H65:H65)</f>
        <v>0</v>
      </c>
      <c r="I64" s="40">
        <f>SUM(I65:I65)</f>
        <v>0</v>
      </c>
      <c r="J64" s="40">
        <f>H64+I64</f>
        <v>0</v>
      </c>
      <c r="K64" s="28"/>
      <c r="L64" s="40">
        <f>SUM(L65:L65)</f>
        <v>0</v>
      </c>
      <c r="M64" s="28"/>
      <c r="P64" s="40">
        <f>IF(Q64="PR",J64,SUM(O65:O65))</f>
        <v>0</v>
      </c>
      <c r="Q64" s="28" t="s">
        <v>158</v>
      </c>
      <c r="R64" s="40">
        <f>IF(Q64="HS",H64,0)</f>
        <v>0</v>
      </c>
      <c r="S64" s="40">
        <f>IF(Q64="HS",I64-P64,0)</f>
        <v>0</v>
      </c>
      <c r="T64" s="40">
        <f>IF(Q64="PS",H64,0)</f>
        <v>0</v>
      </c>
      <c r="U64" s="40">
        <f>IF(Q64="PS",I64-P64,0)</f>
        <v>0</v>
      </c>
      <c r="V64" s="40">
        <f>IF(Q64="MP",H64,0)</f>
        <v>0</v>
      </c>
      <c r="W64" s="40">
        <f>IF(Q64="MP",I64-P64,0)</f>
        <v>0</v>
      </c>
      <c r="X64" s="40">
        <f>IF(Q64="OM",H64,0)</f>
        <v>0</v>
      </c>
      <c r="Y64" s="28" t="s">
        <v>37</v>
      </c>
      <c r="AI64" s="40">
        <f>SUM(Z65:Z65)</f>
        <v>0</v>
      </c>
      <c r="AJ64" s="40">
        <f>SUM(AA65:AA65)</f>
        <v>0</v>
      </c>
      <c r="AK64" s="40">
        <f>SUM(AB65:AB65)</f>
        <v>0</v>
      </c>
    </row>
    <row r="65" spans="1:43" ht="12.75">
      <c r="A65" s="8" t="s">
        <v>33</v>
      </c>
      <c r="B65" s="8" t="s">
        <v>37</v>
      </c>
      <c r="C65" s="8" t="s">
        <v>71</v>
      </c>
      <c r="D65" s="8" t="s">
        <v>125</v>
      </c>
      <c r="E65" s="8" t="s">
        <v>133</v>
      </c>
      <c r="F65" s="21">
        <v>11</v>
      </c>
      <c r="G65" s="21">
        <v>0</v>
      </c>
      <c r="H65" s="21">
        <f>F65*AE65</f>
        <v>0</v>
      </c>
      <c r="I65" s="21">
        <f>J65-H65</f>
        <v>0</v>
      </c>
      <c r="J65" s="21">
        <f>F65*G65</f>
        <v>0</v>
      </c>
      <c r="K65" s="21">
        <v>0</v>
      </c>
      <c r="L65" s="21">
        <f>F65*K65</f>
        <v>0</v>
      </c>
      <c r="M65" s="34" t="s">
        <v>153</v>
      </c>
      <c r="N65" s="32" t="s">
        <v>8</v>
      </c>
      <c r="O65" s="19">
        <f>IF(N65="5",I65,0)</f>
        <v>0</v>
      </c>
      <c r="Z65" s="19">
        <f>IF(AD65=0,J65,0)</f>
        <v>0</v>
      </c>
      <c r="AA65" s="19">
        <f>IF(AD65=15,J65,0)</f>
        <v>0</v>
      </c>
      <c r="AB65" s="19">
        <f>IF(AD65=21,J65,0)</f>
        <v>0</v>
      </c>
      <c r="AD65" s="37">
        <v>21</v>
      </c>
      <c r="AE65" s="37">
        <f>G65*0.307747644054385</f>
        <v>0</v>
      </c>
      <c r="AF65" s="37">
        <f>G65*(1-0.307747644054385)</f>
        <v>0</v>
      </c>
      <c r="AM65" s="37">
        <f>F65*AE65</f>
        <v>0</v>
      </c>
      <c r="AN65" s="37">
        <f>F65*AF65</f>
        <v>0</v>
      </c>
      <c r="AO65" s="38" t="s">
        <v>175</v>
      </c>
      <c r="AP65" s="38" t="s">
        <v>181</v>
      </c>
      <c r="AQ65" s="28" t="s">
        <v>185</v>
      </c>
    </row>
    <row r="66" spans="1:28" ht="12.75">
      <c r="A66" s="9"/>
      <c r="B66" s="9"/>
      <c r="C66" s="9"/>
      <c r="D66" s="9"/>
      <c r="E66" s="9"/>
      <c r="F66" s="9"/>
      <c r="G66" s="9"/>
      <c r="H66" s="69" t="s">
        <v>141</v>
      </c>
      <c r="I66" s="70"/>
      <c r="J66" s="42">
        <f>J13+J16+J20+J22+J25+J28+J32+J37+J41+J44+J48+J52+J57+J60+J64</f>
        <v>0</v>
      </c>
      <c r="K66" s="9"/>
      <c r="L66" s="9"/>
      <c r="M66" s="9"/>
      <c r="Z66" s="43">
        <f>SUM(Z13:Z65)</f>
        <v>0</v>
      </c>
      <c r="AA66" s="43">
        <f>SUM(AA13:AA65)</f>
        <v>0</v>
      </c>
      <c r="AB66" s="43">
        <f>SUM(AB13:AB65)</f>
        <v>0</v>
      </c>
    </row>
    <row r="67" ht="11.25" customHeight="1">
      <c r="A67" s="10" t="s">
        <v>34</v>
      </c>
    </row>
    <row r="68" spans="1:13" ht="409.5" customHeight="1" hidden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</sheetData>
  <sheetProtection/>
  <mergeCells count="56">
    <mergeCell ref="I4:I5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8:I9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D25:G25"/>
    <mergeCell ref="D27:M27"/>
    <mergeCell ref="H10:J10"/>
    <mergeCell ref="K10:L10"/>
    <mergeCell ref="D12:G12"/>
    <mergeCell ref="D13:G13"/>
    <mergeCell ref="D15:M15"/>
    <mergeCell ref="D16:G16"/>
    <mergeCell ref="D18:M18"/>
    <mergeCell ref="D20:G20"/>
    <mergeCell ref="D22:G22"/>
    <mergeCell ref="D24:M24"/>
    <mergeCell ref="D48:G48"/>
    <mergeCell ref="D52:G52"/>
    <mergeCell ref="D28:G28"/>
    <mergeCell ref="D31:M31"/>
    <mergeCell ref="D32:G32"/>
    <mergeCell ref="D37:G37"/>
    <mergeCell ref="D39:M39"/>
    <mergeCell ref="D41:G41"/>
    <mergeCell ref="D43:M43"/>
    <mergeCell ref="D44:G44"/>
    <mergeCell ref="D46:M46"/>
    <mergeCell ref="D47:G47"/>
    <mergeCell ref="A68:M68"/>
    <mergeCell ref="D57:G57"/>
    <mergeCell ref="D59:M59"/>
    <mergeCell ref="D60:G60"/>
    <mergeCell ref="D62:M62"/>
    <mergeCell ref="D64:G64"/>
    <mergeCell ref="H66:I6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0"/>
      <c r="B1" s="44"/>
      <c r="C1" s="117" t="s">
        <v>200</v>
      </c>
      <c r="D1" s="118"/>
      <c r="E1" s="118"/>
      <c r="F1" s="118"/>
      <c r="G1" s="118"/>
      <c r="H1" s="118"/>
      <c r="I1" s="118"/>
    </row>
    <row r="2" spans="1:10" ht="12.75">
      <c r="A2" s="86" t="s">
        <v>1</v>
      </c>
      <c r="B2" s="87"/>
      <c r="C2" s="88" t="s">
        <v>230</v>
      </c>
      <c r="D2" s="70"/>
      <c r="E2" s="91" t="s">
        <v>142</v>
      </c>
      <c r="F2" s="91"/>
      <c r="G2" s="87"/>
      <c r="H2" s="91" t="s">
        <v>225</v>
      </c>
      <c r="I2" s="119"/>
      <c r="J2" s="35"/>
    </row>
    <row r="3" spans="1:10" ht="12.75">
      <c r="A3" s="83"/>
      <c r="B3" s="64"/>
      <c r="C3" s="89"/>
      <c r="D3" s="89"/>
      <c r="E3" s="64"/>
      <c r="F3" s="64"/>
      <c r="G3" s="64"/>
      <c r="H3" s="64"/>
      <c r="I3" s="81"/>
      <c r="J3" s="35"/>
    </row>
    <row r="4" spans="1:10" ht="12.75">
      <c r="A4" s="76" t="s">
        <v>2</v>
      </c>
      <c r="B4" s="64"/>
      <c r="C4" s="63" t="s">
        <v>72</v>
      </c>
      <c r="D4" s="64"/>
      <c r="E4" s="63" t="s">
        <v>143</v>
      </c>
      <c r="F4" s="63"/>
      <c r="G4" s="64"/>
      <c r="H4" s="63" t="s">
        <v>225</v>
      </c>
      <c r="I4" s="116"/>
      <c r="J4" s="35"/>
    </row>
    <row r="5" spans="1:10" ht="12.75">
      <c r="A5" s="83"/>
      <c r="B5" s="64"/>
      <c r="C5" s="64"/>
      <c r="D5" s="64"/>
      <c r="E5" s="64"/>
      <c r="F5" s="64"/>
      <c r="G5" s="64"/>
      <c r="H5" s="64"/>
      <c r="I5" s="81"/>
      <c r="J5" s="35"/>
    </row>
    <row r="6" spans="1:10" ht="12.75">
      <c r="A6" s="76" t="s">
        <v>3</v>
      </c>
      <c r="B6" s="64"/>
      <c r="C6" s="63" t="s">
        <v>73</v>
      </c>
      <c r="D6" s="64"/>
      <c r="E6" s="63" t="s">
        <v>144</v>
      </c>
      <c r="F6" s="63"/>
      <c r="G6" s="64"/>
      <c r="H6" s="63" t="s">
        <v>225</v>
      </c>
      <c r="I6" s="116"/>
      <c r="J6" s="35"/>
    </row>
    <row r="7" spans="1:10" ht="12.75">
      <c r="A7" s="83"/>
      <c r="B7" s="64"/>
      <c r="C7" s="64"/>
      <c r="D7" s="64"/>
      <c r="E7" s="64"/>
      <c r="F7" s="64"/>
      <c r="G7" s="64"/>
      <c r="H7" s="64"/>
      <c r="I7" s="81"/>
      <c r="J7" s="35"/>
    </row>
    <row r="8" spans="1:10" ht="12.75">
      <c r="A8" s="76" t="s">
        <v>127</v>
      </c>
      <c r="B8" s="64"/>
      <c r="C8" s="79" t="s">
        <v>6</v>
      </c>
      <c r="D8" s="64"/>
      <c r="E8" s="63" t="s">
        <v>128</v>
      </c>
      <c r="F8" s="64"/>
      <c r="G8" s="64"/>
      <c r="H8" s="79" t="s">
        <v>226</v>
      </c>
      <c r="I8" s="116" t="s">
        <v>33</v>
      </c>
      <c r="J8" s="35"/>
    </row>
    <row r="9" spans="1:10" ht="12.75">
      <c r="A9" s="83"/>
      <c r="B9" s="64"/>
      <c r="C9" s="64"/>
      <c r="D9" s="64"/>
      <c r="E9" s="64"/>
      <c r="F9" s="64"/>
      <c r="G9" s="64"/>
      <c r="H9" s="64"/>
      <c r="I9" s="81"/>
      <c r="J9" s="35"/>
    </row>
    <row r="10" spans="1:10" ht="12.75">
      <c r="A10" s="76" t="s">
        <v>4</v>
      </c>
      <c r="B10" s="64"/>
      <c r="C10" s="63">
        <v>8272111</v>
      </c>
      <c r="D10" s="64"/>
      <c r="E10" s="63" t="s">
        <v>145</v>
      </c>
      <c r="F10" s="63" t="s">
        <v>147</v>
      </c>
      <c r="G10" s="64"/>
      <c r="H10" s="79" t="s">
        <v>227</v>
      </c>
      <c r="I10" s="114">
        <v>42447</v>
      </c>
      <c r="J10" s="35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5"/>
      <c r="J11" s="35"/>
    </row>
    <row r="12" spans="1:9" ht="23.25" customHeight="1">
      <c r="A12" s="108" t="s">
        <v>186</v>
      </c>
      <c r="B12" s="109"/>
      <c r="C12" s="109"/>
      <c r="D12" s="109"/>
      <c r="E12" s="109"/>
      <c r="F12" s="109"/>
      <c r="G12" s="109"/>
      <c r="H12" s="109"/>
      <c r="I12" s="109"/>
    </row>
    <row r="13" spans="1:10" ht="26.25" customHeight="1">
      <c r="A13" s="45" t="s">
        <v>187</v>
      </c>
      <c r="B13" s="110" t="s">
        <v>198</v>
      </c>
      <c r="C13" s="111"/>
      <c r="D13" s="45" t="s">
        <v>201</v>
      </c>
      <c r="E13" s="110" t="s">
        <v>210</v>
      </c>
      <c r="F13" s="111"/>
      <c r="G13" s="45" t="s">
        <v>211</v>
      </c>
      <c r="H13" s="110" t="s">
        <v>228</v>
      </c>
      <c r="I13" s="111"/>
      <c r="J13" s="35"/>
    </row>
    <row r="14" spans="1:10" ht="15" customHeight="1">
      <c r="A14" s="46" t="s">
        <v>188</v>
      </c>
      <c r="B14" s="50" t="s">
        <v>199</v>
      </c>
      <c r="C14" s="54">
        <f>SUM('Stavební rozpočet'!R12:R65)</f>
        <v>0</v>
      </c>
      <c r="D14" s="106" t="s">
        <v>202</v>
      </c>
      <c r="E14" s="107"/>
      <c r="F14" s="54">
        <v>0</v>
      </c>
      <c r="G14" s="106" t="s">
        <v>212</v>
      </c>
      <c r="H14" s="107"/>
      <c r="I14" s="54">
        <v>0</v>
      </c>
      <c r="J14" s="35"/>
    </row>
    <row r="15" spans="1:10" ht="15" customHeight="1">
      <c r="A15" s="47"/>
      <c r="B15" s="50" t="s">
        <v>146</v>
      </c>
      <c r="C15" s="54">
        <f>SUM('Stavební rozpočet'!S12:S65)</f>
        <v>0</v>
      </c>
      <c r="D15" s="106" t="s">
        <v>203</v>
      </c>
      <c r="E15" s="107"/>
      <c r="F15" s="54">
        <v>0</v>
      </c>
      <c r="G15" s="106" t="s">
        <v>213</v>
      </c>
      <c r="H15" s="107"/>
      <c r="I15" s="54">
        <v>0</v>
      </c>
      <c r="J15" s="35"/>
    </row>
    <row r="16" spans="1:10" ht="15" customHeight="1">
      <c r="A16" s="46" t="s">
        <v>189</v>
      </c>
      <c r="B16" s="50" t="s">
        <v>199</v>
      </c>
      <c r="C16" s="54">
        <f>SUM('Stavební rozpočet'!T12:T65)</f>
        <v>0</v>
      </c>
      <c r="D16" s="106" t="s">
        <v>204</v>
      </c>
      <c r="E16" s="107"/>
      <c r="F16" s="54">
        <v>0</v>
      </c>
      <c r="G16" s="106" t="s">
        <v>214</v>
      </c>
      <c r="H16" s="107"/>
      <c r="I16" s="54">
        <v>0</v>
      </c>
      <c r="J16" s="35"/>
    </row>
    <row r="17" spans="1:10" ht="15" customHeight="1">
      <c r="A17" s="47"/>
      <c r="B17" s="50" t="s">
        <v>146</v>
      </c>
      <c r="C17" s="54">
        <f>SUM('Stavební rozpočet'!U12:U65)</f>
        <v>0</v>
      </c>
      <c r="D17" s="106"/>
      <c r="E17" s="107"/>
      <c r="F17" s="55"/>
      <c r="G17" s="106" t="s">
        <v>215</v>
      </c>
      <c r="H17" s="107"/>
      <c r="I17" s="54">
        <v>0</v>
      </c>
      <c r="J17" s="35"/>
    </row>
    <row r="18" spans="1:10" ht="15" customHeight="1">
      <c r="A18" s="46" t="s">
        <v>190</v>
      </c>
      <c r="B18" s="50" t="s">
        <v>199</v>
      </c>
      <c r="C18" s="54">
        <f>SUM('Stavební rozpočet'!V12:V65)</f>
        <v>0</v>
      </c>
      <c r="D18" s="106"/>
      <c r="E18" s="107"/>
      <c r="F18" s="55"/>
      <c r="G18" s="106" t="s">
        <v>216</v>
      </c>
      <c r="H18" s="107"/>
      <c r="I18" s="54">
        <v>0</v>
      </c>
      <c r="J18" s="35"/>
    </row>
    <row r="19" spans="1:10" ht="15" customHeight="1">
      <c r="A19" s="47"/>
      <c r="B19" s="50" t="s">
        <v>146</v>
      </c>
      <c r="C19" s="54">
        <f>SUM('Stavební rozpočet'!W12:W65)</f>
        <v>0</v>
      </c>
      <c r="D19" s="106"/>
      <c r="E19" s="107"/>
      <c r="F19" s="55"/>
      <c r="G19" s="106" t="s">
        <v>217</v>
      </c>
      <c r="H19" s="107"/>
      <c r="I19" s="54">
        <v>0</v>
      </c>
      <c r="J19" s="35"/>
    </row>
    <row r="20" spans="1:10" ht="15" customHeight="1">
      <c r="A20" s="104" t="s">
        <v>107</v>
      </c>
      <c r="B20" s="105"/>
      <c r="C20" s="54">
        <f>SUM('Stavební rozpočet'!X12:X65)</f>
        <v>0</v>
      </c>
      <c r="D20" s="106"/>
      <c r="E20" s="107"/>
      <c r="F20" s="55"/>
      <c r="G20" s="106"/>
      <c r="H20" s="107"/>
      <c r="I20" s="55"/>
      <c r="J20" s="35"/>
    </row>
    <row r="21" spans="1:10" ht="15" customHeight="1">
      <c r="A21" s="104" t="s">
        <v>191</v>
      </c>
      <c r="B21" s="105"/>
      <c r="C21" s="54">
        <f>SUM('Stavební rozpočet'!P12:P65)</f>
        <v>0</v>
      </c>
      <c r="D21" s="106"/>
      <c r="E21" s="107"/>
      <c r="F21" s="55"/>
      <c r="G21" s="106"/>
      <c r="H21" s="107"/>
      <c r="I21" s="55"/>
      <c r="J21" s="35"/>
    </row>
    <row r="22" spans="1:10" ht="16.5" customHeight="1">
      <c r="A22" s="104" t="s">
        <v>192</v>
      </c>
      <c r="B22" s="105"/>
      <c r="C22" s="54">
        <f>SUM(C14:C21)</f>
        <v>0</v>
      </c>
      <c r="D22" s="104" t="s">
        <v>205</v>
      </c>
      <c r="E22" s="105"/>
      <c r="F22" s="54">
        <f>SUM(F14:F21)</f>
        <v>0</v>
      </c>
      <c r="G22" s="104" t="s">
        <v>218</v>
      </c>
      <c r="H22" s="105"/>
      <c r="I22" s="54">
        <f>SUM(I14:I21)</f>
        <v>0</v>
      </c>
      <c r="J22" s="35"/>
    </row>
    <row r="23" spans="1:10" ht="15" customHeight="1">
      <c r="A23" s="9"/>
      <c r="B23" s="9"/>
      <c r="C23" s="52"/>
      <c r="D23" s="104" t="s">
        <v>206</v>
      </c>
      <c r="E23" s="105"/>
      <c r="F23" s="56">
        <v>0</v>
      </c>
      <c r="G23" s="104" t="s">
        <v>219</v>
      </c>
      <c r="H23" s="105"/>
      <c r="I23" s="54">
        <v>0</v>
      </c>
      <c r="J23" s="35"/>
    </row>
    <row r="24" spans="4:10" ht="15" customHeight="1">
      <c r="D24" s="9"/>
      <c r="E24" s="9"/>
      <c r="F24" s="57"/>
      <c r="G24" s="104" t="s">
        <v>220</v>
      </c>
      <c r="H24" s="105"/>
      <c r="I24" s="54">
        <v>0</v>
      </c>
      <c r="J24" s="35"/>
    </row>
    <row r="25" spans="6:10" ht="15" customHeight="1">
      <c r="F25" s="58"/>
      <c r="G25" s="104" t="s">
        <v>221</v>
      </c>
      <c r="H25" s="105"/>
      <c r="I25" s="54">
        <v>0</v>
      </c>
      <c r="J25" s="35"/>
    </row>
    <row r="26" spans="1:9" ht="12.75">
      <c r="A26" s="44"/>
      <c r="B26" s="44"/>
      <c r="C26" s="44"/>
      <c r="G26" s="9"/>
      <c r="H26" s="9"/>
      <c r="I26" s="9"/>
    </row>
    <row r="27" spans="1:9" ht="15" customHeight="1">
      <c r="A27" s="99" t="s">
        <v>193</v>
      </c>
      <c r="B27" s="100"/>
      <c r="C27" s="59">
        <f>SUM('Stavební rozpočet'!Z12:Z65)</f>
        <v>0</v>
      </c>
      <c r="D27" s="53"/>
      <c r="E27" s="44"/>
      <c r="F27" s="44"/>
      <c r="G27" s="44"/>
      <c r="H27" s="44"/>
      <c r="I27" s="44"/>
    </row>
    <row r="28" spans="1:10" ht="15" customHeight="1">
      <c r="A28" s="99" t="s">
        <v>194</v>
      </c>
      <c r="B28" s="100"/>
      <c r="C28" s="59">
        <f>SUM('Stavební rozpočet'!AA12:AA65)</f>
        <v>0</v>
      </c>
      <c r="D28" s="99" t="s">
        <v>207</v>
      </c>
      <c r="E28" s="100"/>
      <c r="F28" s="59">
        <f>ROUND(C28*(15/100),2)</f>
        <v>0</v>
      </c>
      <c r="G28" s="99" t="s">
        <v>222</v>
      </c>
      <c r="H28" s="100"/>
      <c r="I28" s="59">
        <f>SUM(C27:C29)</f>
        <v>0</v>
      </c>
      <c r="J28" s="35"/>
    </row>
    <row r="29" spans="1:10" ht="15" customHeight="1">
      <c r="A29" s="99" t="s">
        <v>195</v>
      </c>
      <c r="B29" s="100"/>
      <c r="C29" s="59">
        <f>SUM('Stavební rozpočet'!AB12:AB65)+(F22+I22+F23+I23+I24+I25)</f>
        <v>0</v>
      </c>
      <c r="D29" s="99" t="s">
        <v>208</v>
      </c>
      <c r="E29" s="100"/>
      <c r="F29" s="59">
        <f>ROUND(C29*(21/100),2)</f>
        <v>0</v>
      </c>
      <c r="G29" s="99" t="s">
        <v>223</v>
      </c>
      <c r="H29" s="100"/>
      <c r="I29" s="59">
        <f>SUM(F28:F29)+I28</f>
        <v>0</v>
      </c>
      <c r="J29" s="35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25" customHeight="1">
      <c r="A31" s="101" t="s">
        <v>196</v>
      </c>
      <c r="B31" s="102"/>
      <c r="C31" s="103"/>
      <c r="D31" s="101" t="s">
        <v>209</v>
      </c>
      <c r="E31" s="102"/>
      <c r="F31" s="103"/>
      <c r="G31" s="101" t="s">
        <v>224</v>
      </c>
      <c r="H31" s="102"/>
      <c r="I31" s="103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3"/>
      <c r="B33" s="94"/>
      <c r="C33" s="95"/>
      <c r="D33" s="93"/>
      <c r="E33" s="94"/>
      <c r="F33" s="95"/>
      <c r="G33" s="93"/>
      <c r="H33" s="94"/>
      <c r="I33" s="95"/>
      <c r="J33" s="36"/>
    </row>
    <row r="34" spans="1:10" ht="14.25" customHeight="1">
      <c r="A34" s="93"/>
      <c r="B34" s="94"/>
      <c r="C34" s="95"/>
      <c r="D34" s="93"/>
      <c r="E34" s="94"/>
      <c r="F34" s="95"/>
      <c r="G34" s="93"/>
      <c r="H34" s="94"/>
      <c r="I34" s="95"/>
      <c r="J34" s="36"/>
    </row>
    <row r="35" spans="1:10" ht="14.25" customHeight="1">
      <c r="A35" s="96" t="s">
        <v>197</v>
      </c>
      <c r="B35" s="97"/>
      <c r="C35" s="98"/>
      <c r="D35" s="96" t="s">
        <v>197</v>
      </c>
      <c r="E35" s="97"/>
      <c r="F35" s="98"/>
      <c r="G35" s="96" t="s">
        <v>197</v>
      </c>
      <c r="H35" s="97"/>
      <c r="I35" s="98"/>
      <c r="J35" s="36"/>
    </row>
    <row r="36" spans="1:9" ht="11.25" customHeight="1">
      <c r="A36" s="49" t="s">
        <v>34</v>
      </c>
      <c r="B36" s="51"/>
      <c r="C36" s="51"/>
      <c r="D36" s="51"/>
      <c r="E36" s="51"/>
      <c r="F36" s="51"/>
      <c r="G36" s="51"/>
      <c r="H36" s="51"/>
      <c r="I36" s="51"/>
    </row>
    <row r="37" spans="1:9" ht="409.5" customHeight="1" hidden="1">
      <c r="A37" s="63"/>
      <c r="B37" s="64"/>
      <c r="C37" s="64"/>
      <c r="D37" s="64"/>
      <c r="E37" s="64"/>
      <c r="F37" s="64"/>
      <c r="G37" s="64"/>
      <c r="H37" s="64"/>
      <c r="I37" s="6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1:B21"/>
    <mergeCell ref="D21:E21"/>
    <mergeCell ref="G21:H21"/>
    <mergeCell ref="A22:B22"/>
    <mergeCell ref="D22:E22"/>
    <mergeCell ref="G22:H22"/>
    <mergeCell ref="A27:B27"/>
    <mergeCell ref="A28:B28"/>
    <mergeCell ref="D28:E28"/>
    <mergeCell ref="G28:H28"/>
    <mergeCell ref="D23:E23"/>
    <mergeCell ref="G23:H23"/>
    <mergeCell ref="G24:H24"/>
    <mergeCell ref="G25:H25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0"/>
      <c r="B1" s="44"/>
      <c r="C1" s="117" t="s">
        <v>231</v>
      </c>
      <c r="D1" s="118"/>
      <c r="E1" s="118"/>
      <c r="F1" s="118"/>
      <c r="G1" s="118"/>
      <c r="H1" s="118"/>
      <c r="I1" s="118"/>
    </row>
    <row r="2" spans="1:10" ht="12.75">
      <c r="A2" s="86" t="s">
        <v>1</v>
      </c>
      <c r="B2" s="87"/>
      <c r="C2" s="88" t="s">
        <v>230</v>
      </c>
      <c r="D2" s="70"/>
      <c r="E2" s="91" t="s">
        <v>142</v>
      </c>
      <c r="F2" s="91"/>
      <c r="G2" s="87"/>
      <c r="H2" s="91" t="s">
        <v>225</v>
      </c>
      <c r="I2" s="119"/>
      <c r="J2" s="35"/>
    </row>
    <row r="3" spans="1:10" ht="12.75">
      <c r="A3" s="83"/>
      <c r="B3" s="64"/>
      <c r="C3" s="89"/>
      <c r="D3" s="89"/>
      <c r="E3" s="64"/>
      <c r="F3" s="64"/>
      <c r="G3" s="64"/>
      <c r="H3" s="64"/>
      <c r="I3" s="81"/>
      <c r="J3" s="35"/>
    </row>
    <row r="4" spans="1:10" ht="12.75">
      <c r="A4" s="76" t="s">
        <v>2</v>
      </c>
      <c r="B4" s="64"/>
      <c r="C4" s="63" t="s">
        <v>72</v>
      </c>
      <c r="D4" s="64"/>
      <c r="E4" s="63" t="s">
        <v>143</v>
      </c>
      <c r="F4" s="63"/>
      <c r="G4" s="64"/>
      <c r="H4" s="63" t="s">
        <v>225</v>
      </c>
      <c r="I4" s="116"/>
      <c r="J4" s="35"/>
    </row>
    <row r="5" spans="1:10" ht="12.75">
      <c r="A5" s="83"/>
      <c r="B5" s="64"/>
      <c r="C5" s="64"/>
      <c r="D5" s="64"/>
      <c r="E5" s="64"/>
      <c r="F5" s="64"/>
      <c r="G5" s="64"/>
      <c r="H5" s="64"/>
      <c r="I5" s="81"/>
      <c r="J5" s="35"/>
    </row>
    <row r="6" spans="1:10" ht="12.75">
      <c r="A6" s="76" t="s">
        <v>3</v>
      </c>
      <c r="B6" s="64"/>
      <c r="C6" s="63" t="s">
        <v>73</v>
      </c>
      <c r="D6" s="64"/>
      <c r="E6" s="63" t="s">
        <v>144</v>
      </c>
      <c r="F6" s="63"/>
      <c r="G6" s="64"/>
      <c r="H6" s="63" t="s">
        <v>225</v>
      </c>
      <c r="I6" s="116"/>
      <c r="J6" s="35"/>
    </row>
    <row r="7" spans="1:10" ht="12.75">
      <c r="A7" s="83"/>
      <c r="B7" s="64"/>
      <c r="C7" s="64"/>
      <c r="D7" s="64"/>
      <c r="E7" s="64"/>
      <c r="F7" s="64"/>
      <c r="G7" s="64"/>
      <c r="H7" s="64"/>
      <c r="I7" s="81"/>
      <c r="J7" s="35"/>
    </row>
    <row r="8" spans="1:10" ht="12.75">
      <c r="A8" s="76" t="s">
        <v>127</v>
      </c>
      <c r="B8" s="64"/>
      <c r="C8" s="79" t="s">
        <v>6</v>
      </c>
      <c r="D8" s="64"/>
      <c r="E8" s="63" t="s">
        <v>128</v>
      </c>
      <c r="F8" s="64"/>
      <c r="G8" s="64"/>
      <c r="H8" s="79" t="s">
        <v>226</v>
      </c>
      <c r="I8" s="116" t="s">
        <v>22</v>
      </c>
      <c r="J8" s="35"/>
    </row>
    <row r="9" spans="1:10" ht="12.75">
      <c r="A9" s="83"/>
      <c r="B9" s="64"/>
      <c r="C9" s="64"/>
      <c r="D9" s="64"/>
      <c r="E9" s="64"/>
      <c r="F9" s="64"/>
      <c r="G9" s="64"/>
      <c r="H9" s="64"/>
      <c r="I9" s="81"/>
      <c r="J9" s="35"/>
    </row>
    <row r="10" spans="1:10" ht="12.75">
      <c r="A10" s="76" t="s">
        <v>4</v>
      </c>
      <c r="B10" s="64"/>
      <c r="C10" s="63">
        <v>8272111</v>
      </c>
      <c r="D10" s="64"/>
      <c r="E10" s="63" t="s">
        <v>145</v>
      </c>
      <c r="F10" s="63" t="s">
        <v>147</v>
      </c>
      <c r="G10" s="64"/>
      <c r="H10" s="79" t="s">
        <v>227</v>
      </c>
      <c r="I10" s="114">
        <v>42447</v>
      </c>
      <c r="J10" s="35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5"/>
      <c r="J11" s="35"/>
    </row>
    <row r="12" spans="1:9" ht="23.25" customHeight="1">
      <c r="A12" s="108" t="s">
        <v>186</v>
      </c>
      <c r="B12" s="109"/>
      <c r="C12" s="109"/>
      <c r="D12" s="109"/>
      <c r="E12" s="109"/>
      <c r="F12" s="109"/>
      <c r="G12" s="109"/>
      <c r="H12" s="109"/>
      <c r="I12" s="109"/>
    </row>
    <row r="13" spans="1:10" ht="26.25" customHeight="1">
      <c r="A13" s="45" t="s">
        <v>187</v>
      </c>
      <c r="B13" s="110" t="s">
        <v>198</v>
      </c>
      <c r="C13" s="111"/>
      <c r="D13" s="45" t="s">
        <v>201</v>
      </c>
      <c r="E13" s="110" t="s">
        <v>210</v>
      </c>
      <c r="F13" s="111"/>
      <c r="G13" s="45" t="s">
        <v>211</v>
      </c>
      <c r="H13" s="110" t="s">
        <v>228</v>
      </c>
      <c r="I13" s="111"/>
      <c r="J13" s="35"/>
    </row>
    <row r="14" spans="1:10" ht="15" customHeight="1">
      <c r="A14" s="46" t="s">
        <v>188</v>
      </c>
      <c r="B14" s="50" t="s">
        <v>199</v>
      </c>
      <c r="C14" s="54">
        <f>'Stavební rozpočet'!R13+'Stavební rozpočet'!R16+'Stavební rozpočet'!R20+'Stavební rozpočet'!R22+'Stavební rozpočet'!R25+'Stavební rozpočet'!R28+'Stavební rozpočet'!R32+'Stavební rozpočet'!R37+'Stavební rozpočet'!R41+'Stavební rozpočet'!R44</f>
        <v>0</v>
      </c>
      <c r="D14" s="106" t="s">
        <v>202</v>
      </c>
      <c r="E14" s="107"/>
      <c r="F14" s="54">
        <v>0</v>
      </c>
      <c r="G14" s="106" t="s">
        <v>212</v>
      </c>
      <c r="H14" s="107"/>
      <c r="I14" s="54">
        <v>0</v>
      </c>
      <c r="J14" s="35"/>
    </row>
    <row r="15" spans="1:10" ht="15" customHeight="1">
      <c r="A15" s="47"/>
      <c r="B15" s="50" t="s">
        <v>146</v>
      </c>
      <c r="C15" s="54">
        <f>'Stavební rozpočet'!S13+'Stavební rozpočet'!S16+'Stavební rozpočet'!S20+'Stavební rozpočet'!S22+'Stavební rozpočet'!S25+'Stavební rozpočet'!S28+'Stavební rozpočet'!S32+'Stavební rozpočet'!S37+'Stavební rozpočet'!S41+'Stavební rozpočet'!S44</f>
        <v>0</v>
      </c>
      <c r="D15" s="106" t="s">
        <v>203</v>
      </c>
      <c r="E15" s="107"/>
      <c r="F15" s="54">
        <v>0</v>
      </c>
      <c r="G15" s="106" t="s">
        <v>213</v>
      </c>
      <c r="H15" s="107"/>
      <c r="I15" s="54">
        <v>0</v>
      </c>
      <c r="J15" s="35"/>
    </row>
    <row r="16" spans="1:10" ht="15" customHeight="1">
      <c r="A16" s="46" t="s">
        <v>189</v>
      </c>
      <c r="B16" s="50" t="s">
        <v>199</v>
      </c>
      <c r="C16" s="54">
        <f>'Stavební rozpočet'!T13+'Stavební rozpočet'!T16+'Stavební rozpočet'!T20+'Stavební rozpočet'!T22+'Stavební rozpočet'!T25+'Stavební rozpočet'!T28+'Stavební rozpočet'!T32+'Stavební rozpočet'!T37+'Stavební rozpočet'!T41+'Stavební rozpočet'!T44</f>
        <v>0</v>
      </c>
      <c r="D16" s="106" t="s">
        <v>204</v>
      </c>
      <c r="E16" s="107"/>
      <c r="F16" s="54">
        <v>0</v>
      </c>
      <c r="G16" s="106" t="s">
        <v>214</v>
      </c>
      <c r="H16" s="107"/>
      <c r="I16" s="54">
        <v>0</v>
      </c>
      <c r="J16" s="35"/>
    </row>
    <row r="17" spans="1:10" ht="15" customHeight="1">
      <c r="A17" s="47"/>
      <c r="B17" s="50" t="s">
        <v>146</v>
      </c>
      <c r="C17" s="54">
        <f>'Stavební rozpočet'!U13+'Stavební rozpočet'!U16+'Stavební rozpočet'!U20+'Stavební rozpočet'!U22+'Stavební rozpočet'!U25+'Stavební rozpočet'!U28+'Stavební rozpočet'!U32+'Stavební rozpočet'!U37+'Stavební rozpočet'!U41+'Stavební rozpočet'!U44</f>
        <v>0</v>
      </c>
      <c r="D17" s="106"/>
      <c r="E17" s="107"/>
      <c r="F17" s="55"/>
      <c r="G17" s="106" t="s">
        <v>215</v>
      </c>
      <c r="H17" s="107"/>
      <c r="I17" s="54">
        <v>0</v>
      </c>
      <c r="J17" s="35"/>
    </row>
    <row r="18" spans="1:10" ht="15" customHeight="1">
      <c r="A18" s="46" t="s">
        <v>190</v>
      </c>
      <c r="B18" s="50" t="s">
        <v>199</v>
      </c>
      <c r="C18" s="54">
        <f>'Stavební rozpočet'!V13+'Stavební rozpočet'!V16+'Stavební rozpočet'!V20+'Stavební rozpočet'!V22+'Stavební rozpočet'!V25+'Stavební rozpočet'!V28+'Stavební rozpočet'!V32+'Stavební rozpočet'!V37+'Stavební rozpočet'!V41+'Stavební rozpočet'!V44</f>
        <v>0</v>
      </c>
      <c r="D18" s="106"/>
      <c r="E18" s="107"/>
      <c r="F18" s="55"/>
      <c r="G18" s="106" t="s">
        <v>216</v>
      </c>
      <c r="H18" s="107"/>
      <c r="I18" s="54">
        <v>0</v>
      </c>
      <c r="J18" s="35"/>
    </row>
    <row r="19" spans="1:10" ht="15" customHeight="1">
      <c r="A19" s="47"/>
      <c r="B19" s="50" t="s">
        <v>146</v>
      </c>
      <c r="C19" s="54">
        <f>'Stavební rozpočet'!W13+'Stavební rozpočet'!W16+'Stavební rozpočet'!W20+'Stavební rozpočet'!W22+'Stavební rozpočet'!W25+'Stavební rozpočet'!W28+'Stavební rozpočet'!W32+'Stavební rozpočet'!W37+'Stavební rozpočet'!W41+'Stavební rozpočet'!W44</f>
        <v>0</v>
      </c>
      <c r="D19" s="106"/>
      <c r="E19" s="107"/>
      <c r="F19" s="55"/>
      <c r="G19" s="106" t="s">
        <v>217</v>
      </c>
      <c r="H19" s="107"/>
      <c r="I19" s="54">
        <v>0</v>
      </c>
      <c r="J19" s="35"/>
    </row>
    <row r="20" spans="1:10" ht="15" customHeight="1">
      <c r="A20" s="104" t="s">
        <v>107</v>
      </c>
      <c r="B20" s="105"/>
      <c r="C20" s="54">
        <f>'Stavební rozpočet'!X13+'Stavební rozpočet'!X16+'Stavební rozpočet'!X20+'Stavební rozpočet'!X22+'Stavební rozpočet'!X25+'Stavební rozpočet'!X28+'Stavební rozpočet'!X32+'Stavební rozpočet'!X37+'Stavební rozpočet'!X41+'Stavební rozpočet'!X44</f>
        <v>0</v>
      </c>
      <c r="D20" s="106"/>
      <c r="E20" s="107"/>
      <c r="F20" s="55"/>
      <c r="G20" s="106"/>
      <c r="H20" s="107"/>
      <c r="I20" s="55"/>
      <c r="J20" s="35"/>
    </row>
    <row r="21" spans="1:10" ht="15" customHeight="1">
      <c r="A21" s="104" t="s">
        <v>191</v>
      </c>
      <c r="B21" s="105"/>
      <c r="C21" s="54">
        <f>'Stavební rozpočet'!P13+'Stavební rozpočet'!P16+'Stavební rozpočet'!P20+'Stavební rozpočet'!P22+'Stavební rozpočet'!P25+'Stavební rozpočet'!P28+'Stavební rozpočet'!P32+'Stavební rozpočet'!P37+'Stavební rozpočet'!P41+'Stavební rozpočet'!P44</f>
        <v>0</v>
      </c>
      <c r="D21" s="106"/>
      <c r="E21" s="107"/>
      <c r="F21" s="55"/>
      <c r="G21" s="106"/>
      <c r="H21" s="107"/>
      <c r="I21" s="55"/>
      <c r="J21" s="35"/>
    </row>
    <row r="22" spans="1:10" ht="16.5" customHeight="1">
      <c r="A22" s="104" t="s">
        <v>192</v>
      </c>
      <c r="B22" s="105"/>
      <c r="C22" s="54">
        <f>SUM(C14:C21)</f>
        <v>0</v>
      </c>
      <c r="D22" s="104" t="s">
        <v>205</v>
      </c>
      <c r="E22" s="105"/>
      <c r="F22" s="54">
        <f>SUM(F14:F21)</f>
        <v>0</v>
      </c>
      <c r="G22" s="104" t="s">
        <v>218</v>
      </c>
      <c r="H22" s="105"/>
      <c r="I22" s="54">
        <f>SUM(I14:I21)</f>
        <v>0</v>
      </c>
      <c r="J22" s="35"/>
    </row>
    <row r="23" spans="1:10" ht="15" customHeight="1">
      <c r="A23" s="9"/>
      <c r="B23" s="9"/>
      <c r="C23" s="9"/>
      <c r="D23" s="9"/>
      <c r="E23" s="9"/>
      <c r="F23" s="52"/>
      <c r="G23" s="104" t="s">
        <v>220</v>
      </c>
      <c r="H23" s="105"/>
      <c r="I23" s="54">
        <v>0</v>
      </c>
      <c r="J23" s="35"/>
    </row>
    <row r="24" spans="1:9" ht="12.75">
      <c r="A24" s="44"/>
      <c r="B24" s="44"/>
      <c r="C24" s="44"/>
      <c r="G24" s="9"/>
      <c r="H24" s="9"/>
      <c r="I24" s="9"/>
    </row>
    <row r="25" spans="1:9" ht="15" customHeight="1">
      <c r="A25" s="99" t="s">
        <v>193</v>
      </c>
      <c r="B25" s="100"/>
      <c r="C25" s="59">
        <f>('Stavební rozpočet'!AI13+'Stavební rozpočet'!AI16+'Stavební rozpočet'!AI20+'Stavební rozpočet'!AI22+'Stavební rozpočet'!AI25+'Stavební rozpočet'!AI28+'Stavební rozpočet'!AI32+'Stavební rozpočet'!AI37+'Stavební rozpočet'!AI41+'Stavební rozpočet'!AI44)</f>
        <v>0</v>
      </c>
      <c r="D25" s="53"/>
      <c r="E25" s="44"/>
      <c r="F25" s="44"/>
      <c r="G25" s="44"/>
      <c r="H25" s="44"/>
      <c r="I25" s="44"/>
    </row>
    <row r="26" spans="1:10" ht="15" customHeight="1">
      <c r="A26" s="99" t="s">
        <v>194</v>
      </c>
      <c r="B26" s="100"/>
      <c r="C26" s="59">
        <f>('Stavební rozpočet'!AJ13+'Stavební rozpočet'!AJ16+'Stavební rozpočet'!AJ20+'Stavební rozpočet'!AJ22+'Stavební rozpočet'!AJ25+'Stavební rozpočet'!AJ28+'Stavební rozpočet'!AJ32+'Stavební rozpočet'!AJ37+'Stavební rozpočet'!AJ41+'Stavební rozpočet'!AJ44)</f>
        <v>0</v>
      </c>
      <c r="D26" s="99" t="s">
        <v>207</v>
      </c>
      <c r="E26" s="100"/>
      <c r="F26" s="59">
        <f>ROUND(C26*(15/100),2)</f>
        <v>0</v>
      </c>
      <c r="G26" s="99" t="s">
        <v>222</v>
      </c>
      <c r="H26" s="100"/>
      <c r="I26" s="59">
        <f>SUM(C25:C27)</f>
        <v>0</v>
      </c>
      <c r="J26" s="35"/>
    </row>
    <row r="27" spans="1:10" ht="15" customHeight="1">
      <c r="A27" s="99" t="s">
        <v>195</v>
      </c>
      <c r="B27" s="100"/>
      <c r="C27" s="59">
        <f>('Stavební rozpočet'!AK13+'Stavební rozpočet'!AK16+'Stavební rozpočet'!AK20+'Stavební rozpočet'!AK22+'Stavební rozpočet'!AK25+'Stavební rozpočet'!AK28+'Stavební rozpočet'!AK32+'Stavební rozpočet'!AK37+'Stavební rozpočet'!AK41+'Stavební rozpočet'!AK44)+(F22+I22+F23+I23+I24)</f>
        <v>0</v>
      </c>
      <c r="D27" s="99" t="s">
        <v>208</v>
      </c>
      <c r="E27" s="100"/>
      <c r="F27" s="59">
        <f>ROUND(C27*(21/100),2)</f>
        <v>0</v>
      </c>
      <c r="G27" s="99" t="s">
        <v>223</v>
      </c>
      <c r="H27" s="100"/>
      <c r="I27" s="59">
        <f>SUM(F26:F27)+I26</f>
        <v>0</v>
      </c>
      <c r="J27" s="35"/>
    </row>
    <row r="28" spans="1:9" ht="12.75">
      <c r="A28" s="48"/>
      <c r="B28" s="48"/>
      <c r="C28" s="48"/>
      <c r="D28" s="48"/>
      <c r="E28" s="48"/>
      <c r="F28" s="48"/>
      <c r="G28" s="48"/>
      <c r="H28" s="48"/>
      <c r="I28" s="48"/>
    </row>
    <row r="29" spans="1:10" ht="14.25" customHeight="1">
      <c r="A29" s="101" t="s">
        <v>196</v>
      </c>
      <c r="B29" s="102"/>
      <c r="C29" s="103"/>
      <c r="D29" s="101" t="s">
        <v>209</v>
      </c>
      <c r="E29" s="102"/>
      <c r="F29" s="103"/>
      <c r="G29" s="101" t="s">
        <v>224</v>
      </c>
      <c r="H29" s="102"/>
      <c r="I29" s="103"/>
      <c r="J29" s="36"/>
    </row>
    <row r="30" spans="1:10" ht="14.25" customHeight="1">
      <c r="A30" s="93"/>
      <c r="B30" s="94"/>
      <c r="C30" s="95"/>
      <c r="D30" s="93"/>
      <c r="E30" s="94"/>
      <c r="F30" s="95"/>
      <c r="G30" s="93"/>
      <c r="H30" s="94"/>
      <c r="I30" s="95"/>
      <c r="J30" s="36"/>
    </row>
    <row r="31" spans="1:10" ht="14.25" customHeight="1">
      <c r="A31" s="93"/>
      <c r="B31" s="94"/>
      <c r="C31" s="95"/>
      <c r="D31" s="93"/>
      <c r="E31" s="94"/>
      <c r="F31" s="95"/>
      <c r="G31" s="93"/>
      <c r="H31" s="94"/>
      <c r="I31" s="95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6" t="s">
        <v>197</v>
      </c>
      <c r="B33" s="97"/>
      <c r="C33" s="98"/>
      <c r="D33" s="96" t="s">
        <v>197</v>
      </c>
      <c r="E33" s="97"/>
      <c r="F33" s="98"/>
      <c r="G33" s="96" t="s">
        <v>197</v>
      </c>
      <c r="H33" s="97"/>
      <c r="I33" s="98"/>
      <c r="J33" s="36"/>
    </row>
    <row r="34" spans="1:9" ht="11.25" customHeight="1">
      <c r="A34" s="49" t="s">
        <v>34</v>
      </c>
      <c r="B34" s="51"/>
      <c r="C34" s="51"/>
      <c r="D34" s="51"/>
      <c r="E34" s="51"/>
      <c r="F34" s="51"/>
      <c r="G34" s="51"/>
      <c r="H34" s="51"/>
      <c r="I34" s="51"/>
    </row>
    <row r="35" spans="1:9" ht="409.5" customHeight="1" hidden="1">
      <c r="A35" s="63"/>
      <c r="B35" s="64"/>
      <c r="C35" s="64"/>
      <c r="D35" s="64"/>
      <c r="E35" s="64"/>
      <c r="F35" s="64"/>
      <c r="G35" s="64"/>
      <c r="H35" s="64"/>
      <c r="I35" s="64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0"/>
      <c r="B1" s="44"/>
      <c r="C1" s="117" t="s">
        <v>232</v>
      </c>
      <c r="D1" s="118"/>
      <c r="E1" s="118"/>
      <c r="F1" s="118"/>
      <c r="G1" s="118"/>
      <c r="H1" s="118"/>
      <c r="I1" s="118"/>
    </row>
    <row r="2" spans="1:10" ht="12.75">
      <c r="A2" s="86" t="s">
        <v>1</v>
      </c>
      <c r="B2" s="87"/>
      <c r="C2" s="88" t="s">
        <v>230</v>
      </c>
      <c r="D2" s="70"/>
      <c r="E2" s="91" t="s">
        <v>142</v>
      </c>
      <c r="F2" s="91"/>
      <c r="G2" s="87"/>
      <c r="H2" s="91" t="s">
        <v>225</v>
      </c>
      <c r="I2" s="119"/>
      <c r="J2" s="35"/>
    </row>
    <row r="3" spans="1:10" ht="12.75">
      <c r="A3" s="83"/>
      <c r="B3" s="64"/>
      <c r="C3" s="89"/>
      <c r="D3" s="89"/>
      <c r="E3" s="64"/>
      <c r="F3" s="64"/>
      <c r="G3" s="64"/>
      <c r="H3" s="64"/>
      <c r="I3" s="81"/>
      <c r="J3" s="35"/>
    </row>
    <row r="4" spans="1:10" ht="12.75">
      <c r="A4" s="76" t="s">
        <v>2</v>
      </c>
      <c r="B4" s="64"/>
      <c r="C4" s="63" t="s">
        <v>72</v>
      </c>
      <c r="D4" s="64"/>
      <c r="E4" s="63" t="s">
        <v>143</v>
      </c>
      <c r="F4" s="63"/>
      <c r="G4" s="64"/>
      <c r="H4" s="63" t="s">
        <v>225</v>
      </c>
      <c r="I4" s="116"/>
      <c r="J4" s="35"/>
    </row>
    <row r="5" spans="1:10" ht="12.75">
      <c r="A5" s="83"/>
      <c r="B5" s="64"/>
      <c r="C5" s="64"/>
      <c r="D5" s="64"/>
      <c r="E5" s="64"/>
      <c r="F5" s="64"/>
      <c r="G5" s="64"/>
      <c r="H5" s="64"/>
      <c r="I5" s="81"/>
      <c r="J5" s="35"/>
    </row>
    <row r="6" spans="1:10" ht="12.75">
      <c r="A6" s="76" t="s">
        <v>3</v>
      </c>
      <c r="B6" s="64"/>
      <c r="C6" s="63" t="s">
        <v>73</v>
      </c>
      <c r="D6" s="64"/>
      <c r="E6" s="63" t="s">
        <v>144</v>
      </c>
      <c r="F6" s="63"/>
      <c r="G6" s="64"/>
      <c r="H6" s="63" t="s">
        <v>225</v>
      </c>
      <c r="I6" s="116"/>
      <c r="J6" s="35"/>
    </row>
    <row r="7" spans="1:10" ht="12.75">
      <c r="A7" s="83"/>
      <c r="B7" s="64"/>
      <c r="C7" s="64"/>
      <c r="D7" s="64"/>
      <c r="E7" s="64"/>
      <c r="F7" s="64"/>
      <c r="G7" s="64"/>
      <c r="H7" s="64"/>
      <c r="I7" s="81"/>
      <c r="J7" s="35"/>
    </row>
    <row r="8" spans="1:10" ht="12.75">
      <c r="A8" s="76" t="s">
        <v>127</v>
      </c>
      <c r="B8" s="64"/>
      <c r="C8" s="79" t="s">
        <v>6</v>
      </c>
      <c r="D8" s="64"/>
      <c r="E8" s="63" t="s">
        <v>128</v>
      </c>
      <c r="F8" s="64"/>
      <c r="G8" s="64"/>
      <c r="H8" s="79" t="s">
        <v>226</v>
      </c>
      <c r="I8" s="116" t="s">
        <v>17</v>
      </c>
      <c r="J8" s="35"/>
    </row>
    <row r="9" spans="1:10" ht="12.75">
      <c r="A9" s="83"/>
      <c r="B9" s="64"/>
      <c r="C9" s="64"/>
      <c r="D9" s="64"/>
      <c r="E9" s="64"/>
      <c r="F9" s="64"/>
      <c r="G9" s="64"/>
      <c r="H9" s="64"/>
      <c r="I9" s="81"/>
      <c r="J9" s="35"/>
    </row>
    <row r="10" spans="1:10" ht="12.75">
      <c r="A10" s="76" t="s">
        <v>4</v>
      </c>
      <c r="B10" s="64"/>
      <c r="C10" s="63">
        <v>8272111</v>
      </c>
      <c r="D10" s="64"/>
      <c r="E10" s="63" t="s">
        <v>145</v>
      </c>
      <c r="F10" s="63" t="s">
        <v>147</v>
      </c>
      <c r="G10" s="64"/>
      <c r="H10" s="79" t="s">
        <v>227</v>
      </c>
      <c r="I10" s="114">
        <v>42447</v>
      </c>
      <c r="J10" s="35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5"/>
      <c r="J11" s="35"/>
    </row>
    <row r="12" spans="1:9" ht="23.25" customHeight="1">
      <c r="A12" s="108" t="s">
        <v>186</v>
      </c>
      <c r="B12" s="109"/>
      <c r="C12" s="109"/>
      <c r="D12" s="109"/>
      <c r="E12" s="109"/>
      <c r="F12" s="109"/>
      <c r="G12" s="109"/>
      <c r="H12" s="109"/>
      <c r="I12" s="109"/>
    </row>
    <row r="13" spans="1:10" ht="26.25" customHeight="1">
      <c r="A13" s="45" t="s">
        <v>187</v>
      </c>
      <c r="B13" s="110" t="s">
        <v>198</v>
      </c>
      <c r="C13" s="111"/>
      <c r="D13" s="45" t="s">
        <v>201</v>
      </c>
      <c r="E13" s="110" t="s">
        <v>210</v>
      </c>
      <c r="F13" s="111"/>
      <c r="G13" s="45" t="s">
        <v>211</v>
      </c>
      <c r="H13" s="110" t="s">
        <v>228</v>
      </c>
      <c r="I13" s="111"/>
      <c r="J13" s="35"/>
    </row>
    <row r="14" spans="1:10" ht="15" customHeight="1">
      <c r="A14" s="46" t="s">
        <v>188</v>
      </c>
      <c r="B14" s="50" t="s">
        <v>199</v>
      </c>
      <c r="C14" s="54">
        <f>'Stavební rozpočet'!R48+'Stavební rozpočet'!R52+'Stavební rozpočet'!R57+'Stavební rozpočet'!R60+'Stavební rozpočet'!R64</f>
        <v>0</v>
      </c>
      <c r="D14" s="106" t="s">
        <v>202</v>
      </c>
      <c r="E14" s="107"/>
      <c r="F14" s="54">
        <v>0</v>
      </c>
      <c r="G14" s="106" t="s">
        <v>212</v>
      </c>
      <c r="H14" s="107"/>
      <c r="I14" s="54">
        <v>0</v>
      </c>
      <c r="J14" s="35"/>
    </row>
    <row r="15" spans="1:10" ht="15" customHeight="1">
      <c r="A15" s="47"/>
      <c r="B15" s="50" t="s">
        <v>146</v>
      </c>
      <c r="C15" s="54">
        <f>'Stavební rozpočet'!S48+'Stavební rozpočet'!S52+'Stavební rozpočet'!S57+'Stavební rozpočet'!S60+'Stavební rozpočet'!S64</f>
        <v>0</v>
      </c>
      <c r="D15" s="106" t="s">
        <v>203</v>
      </c>
      <c r="E15" s="107"/>
      <c r="F15" s="54">
        <v>0</v>
      </c>
      <c r="G15" s="106" t="s">
        <v>213</v>
      </c>
      <c r="H15" s="107"/>
      <c r="I15" s="54">
        <v>0</v>
      </c>
      <c r="J15" s="35"/>
    </row>
    <row r="16" spans="1:10" ht="15" customHeight="1">
      <c r="A16" s="46" t="s">
        <v>189</v>
      </c>
      <c r="B16" s="50" t="s">
        <v>199</v>
      </c>
      <c r="C16" s="54">
        <f>'Stavební rozpočet'!T48+'Stavební rozpočet'!T52+'Stavební rozpočet'!T57+'Stavební rozpočet'!T60+'Stavební rozpočet'!T64</f>
        <v>0</v>
      </c>
      <c r="D16" s="106" t="s">
        <v>204</v>
      </c>
      <c r="E16" s="107"/>
      <c r="F16" s="54">
        <v>0</v>
      </c>
      <c r="G16" s="106" t="s">
        <v>214</v>
      </c>
      <c r="H16" s="107"/>
      <c r="I16" s="54">
        <v>0</v>
      </c>
      <c r="J16" s="35"/>
    </row>
    <row r="17" spans="1:10" ht="15" customHeight="1">
      <c r="A17" s="47"/>
      <c r="B17" s="50" t="s">
        <v>146</v>
      </c>
      <c r="C17" s="54">
        <f>'Stavební rozpočet'!U48+'Stavební rozpočet'!U52+'Stavební rozpočet'!U57+'Stavební rozpočet'!U60+'Stavební rozpočet'!U64</f>
        <v>0</v>
      </c>
      <c r="D17" s="106"/>
      <c r="E17" s="107"/>
      <c r="F17" s="55"/>
      <c r="G17" s="106" t="s">
        <v>215</v>
      </c>
      <c r="H17" s="107"/>
      <c r="I17" s="54">
        <v>0</v>
      </c>
      <c r="J17" s="35"/>
    </row>
    <row r="18" spans="1:10" ht="15" customHeight="1">
      <c r="A18" s="46" t="s">
        <v>190</v>
      </c>
      <c r="B18" s="50" t="s">
        <v>199</v>
      </c>
      <c r="C18" s="54">
        <f>'Stavební rozpočet'!V48+'Stavební rozpočet'!V52+'Stavební rozpočet'!V57+'Stavební rozpočet'!V60+'Stavební rozpočet'!V64</f>
        <v>0</v>
      </c>
      <c r="D18" s="106"/>
      <c r="E18" s="107"/>
      <c r="F18" s="55"/>
      <c r="G18" s="106" t="s">
        <v>216</v>
      </c>
      <c r="H18" s="107"/>
      <c r="I18" s="54">
        <v>0</v>
      </c>
      <c r="J18" s="35"/>
    </row>
    <row r="19" spans="1:10" ht="15" customHeight="1">
      <c r="A19" s="47"/>
      <c r="B19" s="50" t="s">
        <v>146</v>
      </c>
      <c r="C19" s="54">
        <f>'Stavební rozpočet'!W48+'Stavební rozpočet'!W52+'Stavební rozpočet'!W57+'Stavební rozpočet'!W60+'Stavební rozpočet'!W64</f>
        <v>0</v>
      </c>
      <c r="D19" s="106"/>
      <c r="E19" s="107"/>
      <c r="F19" s="55"/>
      <c r="G19" s="106" t="s">
        <v>217</v>
      </c>
      <c r="H19" s="107"/>
      <c r="I19" s="54">
        <v>0</v>
      </c>
      <c r="J19" s="35"/>
    </row>
    <row r="20" spans="1:10" ht="15" customHeight="1">
      <c r="A20" s="104" t="s">
        <v>107</v>
      </c>
      <c r="B20" s="105"/>
      <c r="C20" s="54">
        <f>'Stavební rozpočet'!X48+'Stavební rozpočet'!X52+'Stavební rozpočet'!X57+'Stavební rozpočet'!X60+'Stavební rozpočet'!X64</f>
        <v>0</v>
      </c>
      <c r="D20" s="106"/>
      <c r="E20" s="107"/>
      <c r="F20" s="55"/>
      <c r="G20" s="106"/>
      <c r="H20" s="107"/>
      <c r="I20" s="55"/>
      <c r="J20" s="35"/>
    </row>
    <row r="21" spans="1:10" ht="15" customHeight="1">
      <c r="A21" s="104" t="s">
        <v>191</v>
      </c>
      <c r="B21" s="105"/>
      <c r="C21" s="54">
        <f>'Stavební rozpočet'!P48+'Stavební rozpočet'!P52+'Stavební rozpočet'!P57+'Stavební rozpočet'!P60+'Stavební rozpočet'!P64</f>
        <v>0</v>
      </c>
      <c r="D21" s="106"/>
      <c r="E21" s="107"/>
      <c r="F21" s="55"/>
      <c r="G21" s="106"/>
      <c r="H21" s="107"/>
      <c r="I21" s="55"/>
      <c r="J21" s="35"/>
    </row>
    <row r="22" spans="1:10" ht="16.5" customHeight="1">
      <c r="A22" s="104" t="s">
        <v>192</v>
      </c>
      <c r="B22" s="105"/>
      <c r="C22" s="54">
        <f>SUM(C14:C21)</f>
        <v>0</v>
      </c>
      <c r="D22" s="104" t="s">
        <v>205</v>
      </c>
      <c r="E22" s="105"/>
      <c r="F22" s="54">
        <f>SUM(F14:F21)</f>
        <v>0</v>
      </c>
      <c r="G22" s="104" t="s">
        <v>218</v>
      </c>
      <c r="H22" s="105"/>
      <c r="I22" s="54">
        <f>SUM(I14:I21)</f>
        <v>0</v>
      </c>
      <c r="J22" s="35"/>
    </row>
    <row r="23" spans="1:10" ht="15" customHeight="1">
      <c r="A23" s="9"/>
      <c r="B23" s="9"/>
      <c r="C23" s="9"/>
      <c r="D23" s="9"/>
      <c r="E23" s="9"/>
      <c r="F23" s="52"/>
      <c r="G23" s="104" t="s">
        <v>220</v>
      </c>
      <c r="H23" s="105"/>
      <c r="I23" s="54">
        <v>0</v>
      </c>
      <c r="J23" s="35"/>
    </row>
    <row r="24" spans="1:9" ht="12.75">
      <c r="A24" s="44"/>
      <c r="B24" s="44"/>
      <c r="C24" s="44"/>
      <c r="G24" s="9"/>
      <c r="H24" s="9"/>
      <c r="I24" s="9"/>
    </row>
    <row r="25" spans="1:9" ht="15" customHeight="1">
      <c r="A25" s="99" t="s">
        <v>193</v>
      </c>
      <c r="B25" s="100"/>
      <c r="C25" s="59">
        <f>('Stavební rozpočet'!AI48+'Stavební rozpočet'!AI52+'Stavební rozpočet'!AI57+'Stavební rozpočet'!AI60+'Stavební rozpočet'!AI64)</f>
        <v>0</v>
      </c>
      <c r="D25" s="53"/>
      <c r="E25" s="44"/>
      <c r="F25" s="44"/>
      <c r="G25" s="44"/>
      <c r="H25" s="44"/>
      <c r="I25" s="44"/>
    </row>
    <row r="26" spans="1:10" ht="15" customHeight="1">
      <c r="A26" s="99" t="s">
        <v>194</v>
      </c>
      <c r="B26" s="100"/>
      <c r="C26" s="59">
        <f>('Stavební rozpočet'!AJ48+'Stavební rozpočet'!AJ52+'Stavební rozpočet'!AJ57+'Stavební rozpočet'!AJ60+'Stavební rozpočet'!AJ64)</f>
        <v>0</v>
      </c>
      <c r="D26" s="99" t="s">
        <v>207</v>
      </c>
      <c r="E26" s="100"/>
      <c r="F26" s="59">
        <f>ROUND(C26*(15/100),2)</f>
        <v>0</v>
      </c>
      <c r="G26" s="99" t="s">
        <v>222</v>
      </c>
      <c r="H26" s="100"/>
      <c r="I26" s="59">
        <f>SUM(C25:C27)</f>
        <v>0</v>
      </c>
      <c r="J26" s="35"/>
    </row>
    <row r="27" spans="1:10" ht="15" customHeight="1">
      <c r="A27" s="99" t="s">
        <v>195</v>
      </c>
      <c r="B27" s="100"/>
      <c r="C27" s="59">
        <f>('Stavební rozpočet'!AK48+'Stavební rozpočet'!AK52+'Stavební rozpočet'!AK57+'Stavební rozpočet'!AK60+'Stavební rozpočet'!AK64)+(F22+I22+F23+I23+I24)</f>
        <v>0</v>
      </c>
      <c r="D27" s="99" t="s">
        <v>208</v>
      </c>
      <c r="E27" s="100"/>
      <c r="F27" s="59">
        <f>ROUND(C27*(21/100),2)</f>
        <v>0</v>
      </c>
      <c r="G27" s="99" t="s">
        <v>223</v>
      </c>
      <c r="H27" s="100"/>
      <c r="I27" s="59">
        <f>SUM(F26:F27)+I26</f>
        <v>0</v>
      </c>
      <c r="J27" s="35"/>
    </row>
    <row r="28" spans="1:9" ht="12.75">
      <c r="A28" s="48"/>
      <c r="B28" s="48"/>
      <c r="C28" s="48"/>
      <c r="D28" s="48"/>
      <c r="E28" s="48"/>
      <c r="F28" s="48"/>
      <c r="G28" s="48"/>
      <c r="H28" s="48"/>
      <c r="I28" s="48"/>
    </row>
    <row r="29" spans="1:10" ht="14.25" customHeight="1">
      <c r="A29" s="101" t="s">
        <v>196</v>
      </c>
      <c r="B29" s="102"/>
      <c r="C29" s="103"/>
      <c r="D29" s="101" t="s">
        <v>209</v>
      </c>
      <c r="E29" s="102"/>
      <c r="F29" s="103"/>
      <c r="G29" s="101" t="s">
        <v>224</v>
      </c>
      <c r="H29" s="102"/>
      <c r="I29" s="103"/>
      <c r="J29" s="36"/>
    </row>
    <row r="30" spans="1:10" ht="14.25" customHeight="1">
      <c r="A30" s="93"/>
      <c r="B30" s="94"/>
      <c r="C30" s="95"/>
      <c r="D30" s="93"/>
      <c r="E30" s="94"/>
      <c r="F30" s="95"/>
      <c r="G30" s="93"/>
      <c r="H30" s="94"/>
      <c r="I30" s="95"/>
      <c r="J30" s="36"/>
    </row>
    <row r="31" spans="1:10" ht="14.25" customHeight="1">
      <c r="A31" s="93"/>
      <c r="B31" s="94"/>
      <c r="C31" s="95"/>
      <c r="D31" s="93"/>
      <c r="E31" s="94"/>
      <c r="F31" s="95"/>
      <c r="G31" s="93"/>
      <c r="H31" s="94"/>
      <c r="I31" s="95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6" t="s">
        <v>197</v>
      </c>
      <c r="B33" s="97"/>
      <c r="C33" s="98"/>
      <c r="D33" s="96" t="s">
        <v>197</v>
      </c>
      <c r="E33" s="97"/>
      <c r="F33" s="98"/>
      <c r="G33" s="96" t="s">
        <v>197</v>
      </c>
      <c r="H33" s="97"/>
      <c r="I33" s="98"/>
      <c r="J33" s="36"/>
    </row>
    <row r="34" spans="1:9" ht="11.25" customHeight="1">
      <c r="A34" s="49" t="s">
        <v>34</v>
      </c>
      <c r="B34" s="51"/>
      <c r="C34" s="51"/>
      <c r="D34" s="51"/>
      <c r="E34" s="51"/>
      <c r="F34" s="51"/>
      <c r="G34" s="51"/>
      <c r="H34" s="51"/>
      <c r="I34" s="51"/>
    </row>
    <row r="35" spans="1:9" ht="409.5" customHeight="1" hidden="1">
      <c r="A35" s="63"/>
      <c r="B35" s="64"/>
      <c r="C35" s="64"/>
      <c r="D35" s="64"/>
      <c r="E35" s="64"/>
      <c r="F35" s="64"/>
      <c r="G35" s="64"/>
      <c r="H35" s="64"/>
      <c r="I35" s="64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Halamová</cp:lastModifiedBy>
  <dcterms:created xsi:type="dcterms:W3CDTF">2016-08-08T10:55:21Z</dcterms:created>
  <dcterms:modified xsi:type="dcterms:W3CDTF">2016-08-08T10:56:10Z</dcterms:modified>
  <cp:category/>
  <cp:version/>
  <cp:contentType/>
  <cp:contentStatus/>
</cp:coreProperties>
</file>