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9" sheetId="1" r:id="rId1"/>
    <sheet name="výdaje 2019" sheetId="2" r:id="rId2"/>
    <sheet name="financování 2019" sheetId="3" r:id="rId3"/>
  </sheets>
  <definedNames/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I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dle Smlouvy o poskytnutí účelové dotace z Lesnického fondu Libereckého kraje č. OLP/303/2018</t>
        </r>
      </text>
    </comment>
    <comment ref="I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příjem poplatků za odnětí pozemků plnění funkcí lesa a vyšší odvody za odnětí půdy ze zemědělského půdního fondu</t>
        </r>
      </text>
    </comment>
  </commentList>
</comments>
</file>

<file path=xl/comments2.xml><?xml version="1.0" encoding="utf-8"?>
<comments xmlns="http://schemas.openxmlformats.org/spreadsheetml/2006/main">
  <authors>
    <author>hfoved</author>
  </authors>
  <commentList>
    <comment ref="J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 V roce 2019 další dvě roční období + nově 50 dalších stránek kníhy.</t>
        </r>
      </text>
    </comment>
    <comment ref="J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J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J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Euroregion Nisa cca 31 tis. Kč + Mikroregion Hrádecko-Chrastavsko cca 57 tis. Kč + Svaz místních samospráv cca 15 tis. Kč + Svaz měst a obcí cca 17 tis. Kč.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G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H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H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H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hasiči Chrastava z investičního plánu ř. 5 - fasáda hasičské zbrojnice. Provedena běžná oprava fasády s využitím dotace - Smlouva o poskytnutí účelové dotace z Dotačního fondu Libereckého kraje oblast podpory: Požární ochrana program č.:1.1 Podpora jednotek požární ochrany obcí Libereckého kraje č. OLP/3125/2018 - částka dotace 297 122,- Kč 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Euroregion Nisa cca 31 tis. Kč + Mikroregion Hrádecko-Chrastavsko cca 57 tis. Kč + Svaz místních samospráv cca 15 tis. Kč + Svaz měst a obcí cca 17 tis. Kč.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z investičního plánu ř. 14 - úprava cest na hřbitově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H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 48 511,80 Kč ze starých úvěrů + cca 100 tis. Kč úrok z úvěrů na projekt "Rekonstrukce ZŠ Školní"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G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H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G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G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202/2018 došlo k navýšení odměn u neuvolněných členů ZM (tím je i vyšší zdravotní a sociální pojištění)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H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G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202/2018 došlo k navýšení odměn u uvolněných členů ZM (tím je i vyšší zdravotní a sociální pojištění). Navýšení je zhruba o 7 % (ST 65 806,- Kč, MST 57 909,- Kč)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G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I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zaplacena 1. záloha 70 000,- Kč a 2. záloha 84 000,- Kč.</t>
        </r>
      </text>
    </comment>
    <comment ref="H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H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 běžných výdajů převedeno do investičního plánu ř. 21 - demolice č.p. 30 Dolní Vítkov + navazující vybudování parkoviště - z Fondu mikroprojektů CZ-PL, CZ-D hrazeno kompletní vybudování parkoviště Vítkov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H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KÚLK "Potravinová pomoc dětem v Libereckém kraji 4"</t>
        </r>
      </text>
    </comment>
    <comment ref="H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v oblasti prioritní osy 3 Rovný přístup ke kvalitnímu předškolnímu, primárnímu a sekundárnímu vzdělávání, Operační program Výzkum, vývoj a vzdělávání</t>
        </r>
      </text>
    </comment>
    <comment ref="J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žádost o dar 50 tis. Kč Oblastní charita Liberec - Domov pokojného stáři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z roku 2018 jako nevyčerpaný zůstatek běžných výdajů</t>
        </r>
      </text>
    </comment>
    <comment ref="J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76 000,- Kč převedeno z roku 2018 jako nevyčerpaný zůstatek běžných výdajů a 277 000,- Kč převedeno jako nevyčerpáný zůstatek investičního plánu hřiště Vítkov </t>
        </r>
      </text>
    </comment>
    <comment ref="J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- navýšení počtu zaměstnanců o bývalé zaměstnance Technických služeb, a.s. (již nestačila rezerva z minulých let).
- nově 600,- Kč na osobu na zdravotní prevenci a rehabilitace</t>
        </r>
      </text>
    </comment>
    <comment ref="J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24 145,50 Kč vratka dotace na volby do zastupitelstev obcí
26 263,20 Kč vratka dotace na volby prezidenta ČR</t>
        </r>
      </text>
    </comment>
    <comment ref="J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žádost ŠJ 350 000,- Kč na výměnu prasklého kotle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Příjem dotace z MMR projekt "Rekonstrukce ZŠ Chrastava" - snížená potřeba úvěru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</commentList>
</comments>
</file>

<file path=xl/sharedStrings.xml><?xml version="1.0" encoding="utf-8"?>
<sst xmlns="http://schemas.openxmlformats.org/spreadsheetml/2006/main" count="300" uniqueCount="269">
  <si>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</si>
  <si>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</si>
  <si>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</si>
  <si>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</si>
  <si>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</si>
  <si>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</si>
  <si>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</si>
  <si>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</si>
  <si>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</si>
  <si>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</si>
  <si>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</si>
  <si>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</si>
  <si>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</si>
  <si>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</si>
  <si>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</si>
  <si>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</si>
  <si>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</si>
  <si>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</si>
  <si>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</si>
  <si>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</si>
  <si>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</si>
  <si>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</si>
  <si>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</si>
  <si>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</si>
  <si>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</si>
  <si>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</si>
  <si>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</si>
  <si>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</si>
  <si>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</si>
  <si>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</si>
  <si>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</si>
  <si>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</si>
  <si>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</si>
  <si>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</si>
  <si>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</si>
  <si>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</si>
  <si>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</si>
  <si>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</si>
  <si>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</si>
  <si>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</si>
  <si>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</si>
  <si>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</si>
  <si>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</si>
  <si>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</si>
  <si>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</si>
  <si>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</si>
  <si>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</si>
  <si>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</si>
  <si>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</si>
  <si>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</si>
  <si>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</si>
  <si>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</si>
  <si>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</si>
  <si>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</si>
  <si>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</si>
  <si>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</si>
  <si>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</si>
  <si>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</si>
  <si>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</si>
  <si>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</si>
  <si>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</si>
  <si>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</si>
  <si>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</si>
  <si>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</si>
  <si>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</si>
  <si>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</si>
  <si>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</si>
  <si>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</si>
  <si>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</si>
  <si>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</si>
  <si>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</si>
  <si>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</si>
  <si>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</si>
  <si>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</si>
  <si>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</si>
  <si>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</si>
  <si>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</si>
  <si>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</si>
  <si>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</si>
  <si>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</si>
  <si>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</si>
  <si>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</si>
  <si>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</si>
  <si>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</si>
  <si>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</si>
  <si>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</si>
  <si>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</si>
  <si>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</si>
  <si>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</si>
  <si>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</si>
  <si>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</si>
  <si>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</si>
  <si>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</si>
  <si>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</si>
  <si>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</si>
  <si>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</si>
  <si>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</si>
  <si>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</si>
  <si>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</si>
  <si>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</si>
  <si>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</si>
  <si>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</si>
  <si>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</si>
  <si>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</si>
  <si>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</si>
  <si>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</si>
  <si>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</si>
  <si>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</si>
  <si>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</si>
  <si>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</si>
  <si>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</si>
  <si>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</si>
  <si>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</si>
  <si>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</si>
  <si>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</si>
  <si>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</si>
  <si>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</si>
  <si>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</si>
  <si>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</si>
  <si>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</si>
  <si>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</si>
  <si>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</si>
  <si>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</si>
  <si>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</si>
  <si>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</si>
  <si>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</si>
  <si>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</si>
  <si>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</si>
  <si>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</si>
  <si>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</si>
  <si>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</si>
  <si>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</si>
  <si>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</si>
  <si>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</si>
  <si>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</si>
  <si>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</si>
  <si>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</si>
  <si>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</si>
  <si>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</si>
  <si>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</si>
  <si>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</si>
  <si>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</si>
  <si>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</si>
  <si>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</si>
  <si>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</si>
  <si>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</si>
  <si>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</si>
  <si>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</si>
  <si>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</si>
  <si>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</si>
  <si>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</si>
  <si>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</si>
  <si>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</si>
  <si>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</si>
  <si>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</si>
  <si>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</si>
  <si>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</si>
  <si>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</si>
  <si>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</si>
  <si>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</si>
  <si>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</si>
  <si>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</si>
  <si>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</si>
  <si>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</si>
  <si>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</si>
  <si>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</si>
  <si>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</si>
  <si>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</si>
  <si>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</si>
  <si>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</si>
  <si>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</si>
  <si>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</si>
  <si>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</si>
  <si>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</si>
  <si>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</si>
  <si>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</si>
  <si>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</si>
  <si>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</si>
  <si>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</si>
  <si>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</si>
  <si>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</si>
  <si>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</si>
  <si>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</si>
  <si>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</si>
  <si>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</si>
  <si>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</si>
  <si>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</si>
  <si>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</si>
  <si>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</si>
  <si>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</si>
  <si>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</si>
  <si>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</si>
  <si>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</si>
  <si>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</si>
  <si>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</si>
  <si>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</si>
  <si>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dary - Společenství pro dům č.p. 125, Chrastava</t>
  </si>
  <si>
    <t>2221, 2292</t>
  </si>
  <si>
    <t>1351, 1382</t>
  </si>
  <si>
    <t>dotace KÚLK - hasiči, lesní hospodářství</t>
  </si>
  <si>
    <t>2321, 2341, 3341, 3721, 3722, 3745, 3728</t>
  </si>
  <si>
    <t>UZ 33063</t>
  </si>
  <si>
    <t>dotace MŠMT - zvyšování kvality ve vzdělávání</t>
  </si>
  <si>
    <t>dotace MPO - optimalizace veřejného osvětlení</t>
  </si>
  <si>
    <t>UZ 98008</t>
  </si>
  <si>
    <t>dotace na volbu prezidenta republiky</t>
  </si>
  <si>
    <t>UZ 98071</t>
  </si>
  <si>
    <t>dotace na volby do Parlamentu ČR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</si>
  <si>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</si>
  <si>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</si>
  <si>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</si>
  <si>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</si>
  <si>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</si>
  <si>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</si>
  <si>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</si>
  <si>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</si>
  <si>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2) položky IP, které budou financovány schválenými úvěry až 60+40 mil. Kč.</t>
  </si>
  <si>
    <t>předfinancování dotace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</si>
  <si>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</si>
  <si>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</si>
  <si>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</si>
  <si>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</si>
  <si>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</si>
  <si>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rezerva na soudní spor s dodavateli elektrické energie</t>
  </si>
  <si>
    <t>hasiči Chrastava</t>
  </si>
  <si>
    <t>hřiště u ZŠ Školní</t>
  </si>
  <si>
    <t>schválený rozpočet 2018</t>
  </si>
  <si>
    <t>finanční vypořádání minulých let</t>
  </si>
  <si>
    <t>6402, 6409</t>
  </si>
  <si>
    <t>územní plánování</t>
  </si>
  <si>
    <t>čerpání úvěru ČS - rekonstrukce ZŠ - předfinancování dotace</t>
  </si>
  <si>
    <t>čerpání úvěru ČS - rekonstrukce ZŠ - na vlastní podíl</t>
  </si>
  <si>
    <t>dotace od obcí MP Stráž - nové služební auto</t>
  </si>
  <si>
    <t>dotace KÚLK - kontejnerová stání</t>
  </si>
  <si>
    <t>4. změna rozpočtu 2018</t>
  </si>
  <si>
    <t>UZ 13014</t>
  </si>
  <si>
    <t>dotace MMR - projekt "Rekonstrukce ZŠ Chrastava"</t>
  </si>
  <si>
    <t>UZ 17968</t>
  </si>
  <si>
    <t>volby do zastupitelstev obcí - UZ 98187</t>
  </si>
  <si>
    <t>0607, 0613 služební vozidla</t>
  </si>
  <si>
    <t>Projekt "Cyklostezka s Kolem kolem Jizerek"</t>
  </si>
  <si>
    <t>rekonstrukce ul. Bílokostelecká - I. etapa</t>
  </si>
  <si>
    <t>chodník Vítkovská</t>
  </si>
  <si>
    <t>vl. podíl dotace OPPS</t>
  </si>
  <si>
    <t>Projekt "Hřiště ZŠ Školní"</t>
  </si>
  <si>
    <t>vl. podíl MMR</t>
  </si>
  <si>
    <t>rekonstrukce MK (viz seznam komunikací)</t>
  </si>
  <si>
    <t>provizorium 2019</t>
  </si>
  <si>
    <t>fond oprav obecních bytů (PS 2022+2000-4022)</t>
  </si>
  <si>
    <t>rekonstrukce sběrného dvora</t>
  </si>
  <si>
    <t>parkovací místa Střelecký Vrch</t>
  </si>
  <si>
    <t>rekonstrukce ZŠ Vítkov</t>
  </si>
  <si>
    <t>dokončení rekonstrukce CZT (centrál. zásobování teplem)</t>
  </si>
  <si>
    <t>FVI - RUD (PS 9080+33000-1260)</t>
  </si>
  <si>
    <t>navýšení RUD 2019 proti 2012</t>
  </si>
  <si>
    <t>úroky z půjček</t>
  </si>
  <si>
    <r>
      <t>2310, 21,</t>
    </r>
    <r>
      <rPr>
        <sz val="9"/>
        <color indexed="10"/>
        <rFont val="Arial CE"/>
        <family val="0"/>
      </rPr>
      <t xml:space="preserve"> 99</t>
    </r>
  </si>
  <si>
    <t>4350,57,79</t>
  </si>
  <si>
    <t>3399,4357,79</t>
  </si>
  <si>
    <t>dary - Oblastní Charita</t>
  </si>
  <si>
    <t>fond kotelen (PS 379+1350-1350)</t>
  </si>
  <si>
    <t>vl. podíl dotace IPRÚ, IROP</t>
  </si>
  <si>
    <t>sportoviště u hasičů - kluziště</t>
  </si>
  <si>
    <t>ZM 04.02.2019</t>
  </si>
  <si>
    <t>schválený rozpočet 2019</t>
  </si>
  <si>
    <t>předkládá: HFO 05.02.2019</t>
  </si>
  <si>
    <t>Příjmy - schválený rozpočet 2019</t>
  </si>
  <si>
    <t>Výdaje - schválený rozpočet 2019</t>
  </si>
  <si>
    <t>Financování - schválený rozpočet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</si>
</sst>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b/>
      <sz val="11"/>
      <color indexed="10"/>
      <name val="Arial CE"/>
      <family val="0"/>
    </font>
    <font>
      <sz val="9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1" fillId="4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/>
    </xf>
    <xf numFmtId="0" fontId="15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9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4" fillId="0" borderId="26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2" fillId="0" borderId="29" xfId="0" applyFont="1" applyBorder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4" borderId="33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15" fillId="6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4" borderId="20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1" fillId="5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0" fillId="0" borderId="41" xfId="0" applyBorder="1" applyAlignment="1">
      <alignment horizontal="left"/>
    </xf>
    <xf numFmtId="0" fontId="0" fillId="0" borderId="32" xfId="0" applyBorder="1" applyAlignment="1">
      <alignment vertical="center" wrapText="1"/>
    </xf>
    <xf numFmtId="0" fontId="0" fillId="6" borderId="32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Border="1" applyAlignment="1">
      <alignment/>
    </xf>
    <xf numFmtId="0" fontId="1" fillId="0" borderId="2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15" fillId="6" borderId="22" xfId="0" applyFont="1" applyFill="1" applyBorder="1" applyAlignment="1">
      <alignment/>
    </xf>
    <xf numFmtId="0" fontId="0" fillId="0" borderId="39" xfId="0" applyFont="1" applyBorder="1" applyAlignment="1">
      <alignment/>
    </xf>
    <xf numFmtId="0" fontId="15" fillId="0" borderId="3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0" fontId="0" fillId="2" borderId="35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9" xfId="0" applyFont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7" xfId="0" applyFont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27" xfId="0" applyFont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5" fillId="0" borderId="22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5" fillId="0" borderId="9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21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15" fillId="6" borderId="9" xfId="0" applyFont="1" applyFill="1" applyBorder="1" applyAlignment="1">
      <alignment/>
    </xf>
    <xf numFmtId="0" fontId="21" fillId="0" borderId="3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1" fillId="0" borderId="38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1" fillId="6" borderId="22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wrapText="1"/>
    </xf>
    <xf numFmtId="0" fontId="21" fillId="0" borderId="3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45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9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31" xfId="0" applyFont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2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3" xfId="0" applyBorder="1" applyAlignment="1">
      <alignment textRotation="90"/>
    </xf>
    <xf numFmtId="0" fontId="2" fillId="4" borderId="25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textRotation="90"/>
    </xf>
    <xf numFmtId="0" fontId="2" fillId="4" borderId="50" xfId="0" applyFont="1" applyFill="1" applyBorder="1" applyAlignment="1">
      <alignment textRotation="90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3" borderId="24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18" xfId="0" applyBorder="1" applyAlignment="1">
      <alignment/>
    </xf>
    <xf numFmtId="0" fontId="1" fillId="5" borderId="3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/>
    </xf>
    <xf numFmtId="0" fontId="0" fillId="0" borderId="51" xfId="0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9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57" xfId="0" applyFont="1" applyFill="1" applyBorder="1" applyAlignment="1">
      <alignment vertical="center"/>
    </xf>
    <xf numFmtId="0" fontId="15" fillId="0" borderId="45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57" xfId="0" applyFont="1" applyFill="1" applyBorder="1" applyAlignment="1">
      <alignment horizontal="right" vertical="center"/>
    </xf>
    <xf numFmtId="0" fontId="15" fillId="0" borderId="45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0" fillId="0" borderId="50" xfId="0" applyFont="1" applyFill="1" applyBorder="1" applyAlignment="1">
      <alignment horizontal="center" vertical="center" textRotation="90"/>
    </xf>
    <xf numFmtId="0" fontId="20" fillId="0" borderId="51" xfId="0" applyFont="1" applyFill="1" applyBorder="1" applyAlignment="1">
      <alignment horizontal="center" vertical="center" textRotation="90"/>
    </xf>
    <xf numFmtId="0" fontId="20" fillId="0" borderId="52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P17" sqref="P17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9" width="15.00390625" style="0" customWidth="1"/>
    <col min="10" max="11" width="15.875" style="0" customWidth="1"/>
  </cols>
  <sheetData>
    <row r="1" spans="1:7" ht="12.75">
      <c r="A1" s="21"/>
      <c r="B1" s="11"/>
      <c r="C1" s="11"/>
      <c r="D1" s="22"/>
      <c r="E1" s="23"/>
      <c r="G1" s="76"/>
    </row>
    <row r="2" spans="1:11" ht="16.5" thickBot="1">
      <c r="A2" s="276" t="s">
        <v>266</v>
      </c>
      <c r="B2" s="277"/>
      <c r="C2" s="277"/>
      <c r="D2" s="277"/>
      <c r="E2" s="277"/>
      <c r="F2" s="277"/>
      <c r="G2" s="278"/>
      <c r="H2" s="275" t="s">
        <v>263</v>
      </c>
      <c r="I2" s="275"/>
      <c r="J2" s="275"/>
      <c r="K2" s="275"/>
    </row>
    <row r="3" spans="1:48" ht="39" customHeight="1" thickBot="1">
      <c r="A3" s="42"/>
      <c r="B3" s="12"/>
      <c r="C3" s="77"/>
      <c r="D3" s="79" t="s">
        <v>27</v>
      </c>
      <c r="E3" s="13" t="s">
        <v>1</v>
      </c>
      <c r="F3" s="13" t="s">
        <v>0</v>
      </c>
      <c r="G3" s="143" t="s">
        <v>2</v>
      </c>
      <c r="H3" s="204" t="s">
        <v>226</v>
      </c>
      <c r="I3" s="54" t="s">
        <v>234</v>
      </c>
      <c r="J3" s="54" t="s">
        <v>247</v>
      </c>
      <c r="K3" s="54" t="s">
        <v>264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</row>
    <row r="4" spans="1:18" ht="14.25" customHeight="1">
      <c r="A4" s="272" t="s">
        <v>36</v>
      </c>
      <c r="B4" s="257" t="s">
        <v>35</v>
      </c>
      <c r="C4" s="264" t="s">
        <v>33</v>
      </c>
      <c r="D4" s="80">
        <v>1</v>
      </c>
      <c r="E4" s="41">
        <v>1111</v>
      </c>
      <c r="F4" s="41"/>
      <c r="G4" s="131" t="s">
        <v>31</v>
      </c>
      <c r="H4" s="142">
        <f>14000-4000</f>
        <v>10000</v>
      </c>
      <c r="I4" s="142">
        <f>14000-4000</f>
        <v>10000</v>
      </c>
      <c r="J4" s="142">
        <f>14000-4000</f>
        <v>10000</v>
      </c>
      <c r="K4" s="142">
        <f>14000-4000</f>
        <v>10000</v>
      </c>
      <c r="N4" s="210"/>
      <c r="O4" s="93"/>
      <c r="P4" s="130"/>
      <c r="Q4" s="93"/>
      <c r="R4" s="93"/>
    </row>
    <row r="5" spans="1:18" ht="12.75">
      <c r="A5" s="273"/>
      <c r="B5" s="258"/>
      <c r="C5" s="260"/>
      <c r="D5" s="81">
        <v>2</v>
      </c>
      <c r="E5" s="5">
        <v>1112</v>
      </c>
      <c r="F5" s="5"/>
      <c r="G5" s="132" t="s">
        <v>32</v>
      </c>
      <c r="H5" s="159">
        <v>500</v>
      </c>
      <c r="I5" s="102">
        <v>500</v>
      </c>
      <c r="J5" s="102">
        <v>500</v>
      </c>
      <c r="K5" s="102">
        <v>500</v>
      </c>
      <c r="N5" s="93"/>
      <c r="O5" s="93"/>
      <c r="P5" s="130"/>
      <c r="Q5" s="93"/>
      <c r="R5" s="93"/>
    </row>
    <row r="6" spans="1:18" ht="12.75">
      <c r="A6" s="273"/>
      <c r="B6" s="258"/>
      <c r="C6" s="260"/>
      <c r="D6" s="81">
        <v>3</v>
      </c>
      <c r="E6" s="5">
        <v>1113</v>
      </c>
      <c r="F6" s="5"/>
      <c r="G6" s="132" t="s">
        <v>60</v>
      </c>
      <c r="H6" s="159">
        <f>1500-500</f>
        <v>1000</v>
      </c>
      <c r="I6" s="102">
        <f>1500-500</f>
        <v>1000</v>
      </c>
      <c r="J6" s="102">
        <f>1500-500</f>
        <v>1000</v>
      </c>
      <c r="K6" s="102">
        <f>1500-500</f>
        <v>1000</v>
      </c>
      <c r="N6" s="93"/>
      <c r="O6" s="93"/>
      <c r="P6" s="130"/>
      <c r="Q6" s="93"/>
      <c r="R6" s="93"/>
    </row>
    <row r="7" spans="1:18" ht="12.75">
      <c r="A7" s="273"/>
      <c r="B7" s="258"/>
      <c r="C7" s="260"/>
      <c r="D7" s="81">
        <v>4</v>
      </c>
      <c r="E7" s="5">
        <v>1211</v>
      </c>
      <c r="F7" s="5"/>
      <c r="G7" s="132" t="s">
        <v>3</v>
      </c>
      <c r="H7" s="159">
        <f>29000-7500</f>
        <v>21500</v>
      </c>
      <c r="I7" s="102">
        <f>29000-7500</f>
        <v>21500</v>
      </c>
      <c r="J7" s="102">
        <f>29000-7500</f>
        <v>21500</v>
      </c>
      <c r="K7" s="102">
        <f>29000-7500</f>
        <v>21500</v>
      </c>
      <c r="N7" s="93"/>
      <c r="O7" s="93"/>
      <c r="P7" s="130"/>
      <c r="Q7" s="93"/>
      <c r="R7" s="93"/>
    </row>
    <row r="8" spans="1:18" ht="12.75">
      <c r="A8" s="273"/>
      <c r="B8" s="258"/>
      <c r="C8" s="260"/>
      <c r="D8" s="81">
        <v>5</v>
      </c>
      <c r="E8" s="5">
        <v>1121</v>
      </c>
      <c r="F8" s="5"/>
      <c r="G8" s="132" t="s">
        <v>4</v>
      </c>
      <c r="H8" s="159">
        <f>15000-5000</f>
        <v>10000</v>
      </c>
      <c r="I8" s="102">
        <f>15000-5000</f>
        <v>10000</v>
      </c>
      <c r="J8" s="102">
        <f>15000-5000</f>
        <v>10000</v>
      </c>
      <c r="K8" s="102">
        <f>15000-5000</f>
        <v>10000</v>
      </c>
      <c r="N8" s="93"/>
      <c r="O8" s="93"/>
      <c r="P8" s="130"/>
      <c r="Q8" s="93"/>
      <c r="R8" s="93"/>
    </row>
    <row r="9" spans="1:18" ht="12.75">
      <c r="A9" s="273"/>
      <c r="B9" s="258"/>
      <c r="C9" s="260"/>
      <c r="D9" s="81">
        <v>6</v>
      </c>
      <c r="E9" s="53" t="s">
        <v>130</v>
      </c>
      <c r="F9" s="5"/>
      <c r="G9" s="132" t="s">
        <v>254</v>
      </c>
      <c r="H9" s="160">
        <f>18000+6000</f>
        <v>24000</v>
      </c>
      <c r="I9" s="102">
        <f>18000+6000</f>
        <v>24000</v>
      </c>
      <c r="J9" s="100">
        <v>27000</v>
      </c>
      <c r="K9" s="100">
        <f>27000+6000</f>
        <v>33000</v>
      </c>
      <c r="N9" s="93"/>
      <c r="O9" s="93"/>
      <c r="P9" s="211"/>
      <c r="Q9" s="93"/>
      <c r="R9" s="93"/>
    </row>
    <row r="10" spans="1:18" ht="12.75">
      <c r="A10" s="273"/>
      <c r="B10" s="258"/>
      <c r="C10" s="260"/>
      <c r="D10" s="81">
        <v>7</v>
      </c>
      <c r="E10" s="5">
        <v>1122</v>
      </c>
      <c r="F10" s="5"/>
      <c r="G10" s="133" t="s">
        <v>5</v>
      </c>
      <c r="H10" s="159">
        <v>2000</v>
      </c>
      <c r="I10" s="102">
        <f>2000+692</f>
        <v>2692</v>
      </c>
      <c r="J10" s="102">
        <v>2500</v>
      </c>
      <c r="K10" s="102">
        <v>2500</v>
      </c>
      <c r="N10" s="93"/>
      <c r="O10" s="93"/>
      <c r="P10" s="93"/>
      <c r="Q10" s="93"/>
      <c r="R10" s="93"/>
    </row>
    <row r="11" spans="1:18" ht="12.75">
      <c r="A11" s="273"/>
      <c r="B11" s="258"/>
      <c r="C11" s="260"/>
      <c r="D11" s="81">
        <v>8</v>
      </c>
      <c r="E11" s="53" t="s">
        <v>104</v>
      </c>
      <c r="F11" s="5"/>
      <c r="G11" s="132" t="s">
        <v>90</v>
      </c>
      <c r="H11" s="159">
        <v>4</v>
      </c>
      <c r="I11" s="102">
        <f>4+54</f>
        <v>58</v>
      </c>
      <c r="J11" s="102">
        <v>4</v>
      </c>
      <c r="K11" s="102">
        <v>4</v>
      </c>
      <c r="N11" s="93"/>
      <c r="O11" s="93"/>
      <c r="P11" s="93"/>
      <c r="Q11" s="93"/>
      <c r="R11" s="93"/>
    </row>
    <row r="12" spans="1:18" ht="12.75">
      <c r="A12" s="273"/>
      <c r="B12" s="258"/>
      <c r="C12" s="260"/>
      <c r="D12" s="81">
        <v>9</v>
      </c>
      <c r="E12" s="5">
        <v>1340</v>
      </c>
      <c r="F12" s="5"/>
      <c r="G12" s="132" t="s">
        <v>6</v>
      </c>
      <c r="H12" s="159">
        <v>3200</v>
      </c>
      <c r="I12" s="102">
        <v>3200</v>
      </c>
      <c r="J12" s="102">
        <v>3200</v>
      </c>
      <c r="K12" s="102">
        <v>3200</v>
      </c>
      <c r="N12" s="93"/>
      <c r="O12" s="93"/>
      <c r="P12" s="93"/>
      <c r="Q12" s="93"/>
      <c r="R12" s="93"/>
    </row>
    <row r="13" spans="1:11" ht="12.75">
      <c r="A13" s="273"/>
      <c r="B13" s="258"/>
      <c r="C13" s="260"/>
      <c r="D13" s="81">
        <v>10</v>
      </c>
      <c r="E13" s="5">
        <v>1341</v>
      </c>
      <c r="F13" s="5"/>
      <c r="G13" s="132" t="s">
        <v>7</v>
      </c>
      <c r="H13" s="159">
        <v>200</v>
      </c>
      <c r="I13" s="102">
        <v>200</v>
      </c>
      <c r="J13" s="102">
        <v>200</v>
      </c>
      <c r="K13" s="102">
        <v>200</v>
      </c>
    </row>
    <row r="14" spans="1:11" ht="12.75" customHeight="1">
      <c r="A14" s="273"/>
      <c r="B14" s="258"/>
      <c r="C14" s="260"/>
      <c r="D14" s="81">
        <v>11</v>
      </c>
      <c r="E14" s="5">
        <v>1343</v>
      </c>
      <c r="F14" s="5"/>
      <c r="G14" s="132" t="s">
        <v>8</v>
      </c>
      <c r="H14" s="159">
        <v>5</v>
      </c>
      <c r="I14" s="102">
        <v>5</v>
      </c>
      <c r="J14" s="102">
        <v>2</v>
      </c>
      <c r="K14" s="102">
        <v>2</v>
      </c>
    </row>
    <row r="15" spans="1:11" ht="12.75">
      <c r="A15" s="273"/>
      <c r="B15" s="258"/>
      <c r="C15" s="260"/>
      <c r="D15" s="81">
        <v>12</v>
      </c>
      <c r="E15" s="5">
        <v>1344</v>
      </c>
      <c r="F15" s="5"/>
      <c r="G15" s="132" t="s">
        <v>9</v>
      </c>
      <c r="H15" s="159">
        <v>5</v>
      </c>
      <c r="I15" s="102">
        <v>5</v>
      </c>
      <c r="J15" s="102">
        <v>2</v>
      </c>
      <c r="K15" s="102">
        <v>2</v>
      </c>
    </row>
    <row r="16" spans="1:11" ht="12.75">
      <c r="A16" s="273"/>
      <c r="B16" s="258"/>
      <c r="C16" s="260"/>
      <c r="D16" s="81">
        <v>13</v>
      </c>
      <c r="E16" s="5">
        <v>1345</v>
      </c>
      <c r="F16" s="5"/>
      <c r="G16" s="132" t="s">
        <v>89</v>
      </c>
      <c r="H16" s="159">
        <v>40</v>
      </c>
      <c r="I16" s="102">
        <v>40</v>
      </c>
      <c r="J16" s="102">
        <v>40</v>
      </c>
      <c r="K16" s="102">
        <v>40</v>
      </c>
    </row>
    <row r="17" spans="1:11" ht="12.75">
      <c r="A17" s="273"/>
      <c r="B17" s="258"/>
      <c r="C17" s="260"/>
      <c r="D17" s="81">
        <v>14</v>
      </c>
      <c r="E17" s="105" t="s">
        <v>210</v>
      </c>
      <c r="F17" s="5"/>
      <c r="G17" s="138" t="s">
        <v>209</v>
      </c>
      <c r="H17" s="159">
        <v>1800</v>
      </c>
      <c r="I17" s="102">
        <v>1800</v>
      </c>
      <c r="J17" s="102">
        <v>1800</v>
      </c>
      <c r="K17" s="102">
        <v>1800</v>
      </c>
    </row>
    <row r="18" spans="1:12" ht="12.75">
      <c r="A18" s="273"/>
      <c r="B18" s="258"/>
      <c r="C18" s="260"/>
      <c r="D18" s="81">
        <v>15</v>
      </c>
      <c r="E18" s="105" t="s">
        <v>198</v>
      </c>
      <c r="F18" s="5"/>
      <c r="G18" s="132" t="s">
        <v>125</v>
      </c>
      <c r="H18" s="159">
        <v>200</v>
      </c>
      <c r="I18" s="102">
        <v>200</v>
      </c>
      <c r="J18" s="102">
        <v>200</v>
      </c>
      <c r="K18" s="102">
        <v>200</v>
      </c>
      <c r="L18" s="130"/>
    </row>
    <row r="19" spans="1:11" ht="12.75">
      <c r="A19" s="273"/>
      <c r="B19" s="258"/>
      <c r="C19" s="260"/>
      <c r="D19" s="81">
        <v>16</v>
      </c>
      <c r="E19" s="5">
        <v>1361</v>
      </c>
      <c r="F19" s="5"/>
      <c r="G19" s="132" t="s">
        <v>119</v>
      </c>
      <c r="H19" s="159">
        <v>500</v>
      </c>
      <c r="I19" s="102">
        <v>500</v>
      </c>
      <c r="J19" s="102">
        <v>500</v>
      </c>
      <c r="K19" s="102">
        <v>500</v>
      </c>
    </row>
    <row r="20" spans="1:11" ht="12.75">
      <c r="A20" s="273"/>
      <c r="B20" s="258"/>
      <c r="C20" s="260"/>
      <c r="D20" s="81">
        <v>17</v>
      </c>
      <c r="E20" s="5">
        <v>1511</v>
      </c>
      <c r="F20" s="5"/>
      <c r="G20" s="134" t="s">
        <v>10</v>
      </c>
      <c r="H20" s="159">
        <v>8150</v>
      </c>
      <c r="I20" s="102">
        <v>8150</v>
      </c>
      <c r="J20" s="102">
        <v>8150</v>
      </c>
      <c r="K20" s="102">
        <v>8150</v>
      </c>
    </row>
    <row r="21" spans="1:11" ht="12.75">
      <c r="A21" s="273"/>
      <c r="B21" s="258"/>
      <c r="C21" s="260"/>
      <c r="D21" s="236">
        <v>18</v>
      </c>
      <c r="E21" s="232"/>
      <c r="F21" s="232"/>
      <c r="G21" s="233" t="s">
        <v>28</v>
      </c>
      <c r="H21" s="234">
        <f>SUM(H4:H20)</f>
        <v>83104</v>
      </c>
      <c r="I21" s="235">
        <f>SUM(I4:I20)</f>
        <v>83850</v>
      </c>
      <c r="J21" s="235">
        <f>SUM(J4:J20)</f>
        <v>86598</v>
      </c>
      <c r="K21" s="235">
        <f>SUM(K4:K20)</f>
        <v>92598</v>
      </c>
    </row>
    <row r="22" spans="1:12" ht="12.75">
      <c r="A22" s="273"/>
      <c r="B22" s="258"/>
      <c r="C22" s="259" t="s">
        <v>34</v>
      </c>
      <c r="D22" s="81">
        <v>19</v>
      </c>
      <c r="E22" s="5"/>
      <c r="F22" s="5">
        <v>1032</v>
      </c>
      <c r="G22" s="134" t="s">
        <v>108</v>
      </c>
      <c r="H22" s="161">
        <v>600</v>
      </c>
      <c r="I22" s="26">
        <v>600</v>
      </c>
      <c r="J22" s="26">
        <v>820</v>
      </c>
      <c r="K22" s="26">
        <v>820</v>
      </c>
      <c r="L22" s="98"/>
    </row>
    <row r="23" spans="1:11" ht="12.75">
      <c r="A23" s="273"/>
      <c r="B23" s="258"/>
      <c r="C23" s="260"/>
      <c r="D23" s="81">
        <v>20</v>
      </c>
      <c r="E23" s="5"/>
      <c r="F23" s="5"/>
      <c r="G23" s="135" t="s">
        <v>61</v>
      </c>
      <c r="H23" s="162">
        <f>SUM(H22)</f>
        <v>600</v>
      </c>
      <c r="I23" s="34">
        <f>SUM(I22)</f>
        <v>600</v>
      </c>
      <c r="J23" s="34">
        <f>SUM(J22)</f>
        <v>820</v>
      </c>
      <c r="K23" s="34">
        <f>SUM(K22)</f>
        <v>820</v>
      </c>
    </row>
    <row r="24" spans="1:11" ht="12.75">
      <c r="A24" s="273"/>
      <c r="B24" s="258"/>
      <c r="C24" s="260"/>
      <c r="D24" s="81">
        <v>21</v>
      </c>
      <c r="E24" s="5">
        <v>2122</v>
      </c>
      <c r="F24" s="5" t="s">
        <v>40</v>
      </c>
      <c r="G24" s="136" t="s">
        <v>120</v>
      </c>
      <c r="H24" s="159">
        <f>171+481+377+791</f>
        <v>1820</v>
      </c>
      <c r="I24" s="102">
        <f>171+481+377+791</f>
        <v>1820</v>
      </c>
      <c r="J24" s="102">
        <f>172+481+362+792</f>
        <v>1807</v>
      </c>
      <c r="K24" s="102">
        <f>172+481+362+792</f>
        <v>1807</v>
      </c>
    </row>
    <row r="25" spans="1:11" ht="12.75">
      <c r="A25" s="273"/>
      <c r="B25" s="258"/>
      <c r="C25" s="260"/>
      <c r="D25" s="81">
        <v>22</v>
      </c>
      <c r="E25" s="3">
        <v>2132</v>
      </c>
      <c r="F25" s="5">
        <v>3113.9</v>
      </c>
      <c r="G25" s="132" t="s">
        <v>86</v>
      </c>
      <c r="H25" s="161">
        <v>0</v>
      </c>
      <c r="I25" s="26">
        <v>0</v>
      </c>
      <c r="J25" s="26">
        <v>0</v>
      </c>
      <c r="K25" s="26">
        <v>0</v>
      </c>
    </row>
    <row r="26" spans="1:11" ht="12.75">
      <c r="A26" s="273"/>
      <c r="B26" s="258"/>
      <c r="C26" s="260"/>
      <c r="D26" s="81">
        <v>23</v>
      </c>
      <c r="E26" s="3"/>
      <c r="F26" s="5"/>
      <c r="G26" s="132"/>
      <c r="H26" s="161"/>
      <c r="I26" s="26"/>
      <c r="J26" s="26"/>
      <c r="K26" s="26"/>
    </row>
    <row r="27" spans="1:11" ht="12.75">
      <c r="A27" s="273"/>
      <c r="B27" s="258"/>
      <c r="C27" s="260"/>
      <c r="D27" s="81">
        <v>24</v>
      </c>
      <c r="E27" s="5"/>
      <c r="F27" s="5"/>
      <c r="G27" s="135" t="s">
        <v>11</v>
      </c>
      <c r="H27" s="163">
        <f>SUM(H24:H26)</f>
        <v>1820</v>
      </c>
      <c r="I27" s="35">
        <f>SUM(I24:I26)</f>
        <v>1820</v>
      </c>
      <c r="J27" s="35">
        <f>SUM(J24:J26)</f>
        <v>1807</v>
      </c>
      <c r="K27" s="35">
        <f>SUM(K24:K26)</f>
        <v>1807</v>
      </c>
    </row>
    <row r="28" spans="1:11" ht="12.75">
      <c r="A28" s="273"/>
      <c r="B28" s="258"/>
      <c r="C28" s="260"/>
      <c r="D28" s="81">
        <v>25</v>
      </c>
      <c r="E28" s="5"/>
      <c r="F28" s="5">
        <v>3314</v>
      </c>
      <c r="G28" s="132" t="s">
        <v>83</v>
      </c>
      <c r="H28" s="161">
        <v>30</v>
      </c>
      <c r="I28" s="26">
        <v>30</v>
      </c>
      <c r="J28" s="26">
        <v>30</v>
      </c>
      <c r="K28" s="26">
        <v>30</v>
      </c>
    </row>
    <row r="29" spans="1:11" ht="12.75">
      <c r="A29" s="273"/>
      <c r="B29" s="258"/>
      <c r="C29" s="260"/>
      <c r="D29" s="81">
        <v>26</v>
      </c>
      <c r="E29" s="5"/>
      <c r="F29" s="5">
        <v>3315</v>
      </c>
      <c r="G29" s="132" t="s">
        <v>171</v>
      </c>
      <c r="H29" s="161">
        <v>55</v>
      </c>
      <c r="I29" s="26">
        <v>55</v>
      </c>
      <c r="J29" s="26">
        <v>55</v>
      </c>
      <c r="K29" s="26">
        <v>55</v>
      </c>
    </row>
    <row r="30" spans="1:11" ht="12.75">
      <c r="A30" s="273"/>
      <c r="B30" s="258"/>
      <c r="C30" s="260"/>
      <c r="D30" s="81">
        <v>27</v>
      </c>
      <c r="E30" s="5"/>
      <c r="F30" s="5">
        <v>3319</v>
      </c>
      <c r="G30" s="132" t="s">
        <v>121</v>
      </c>
      <c r="H30" s="159">
        <v>130</v>
      </c>
      <c r="I30" s="102">
        <v>130</v>
      </c>
      <c r="J30" s="102">
        <v>130</v>
      </c>
      <c r="K30" s="102">
        <v>130</v>
      </c>
    </row>
    <row r="31" spans="1:11" ht="12.75">
      <c r="A31" s="273"/>
      <c r="B31" s="258"/>
      <c r="C31" s="260"/>
      <c r="D31" s="81">
        <v>28</v>
      </c>
      <c r="E31" s="5"/>
      <c r="F31" s="5">
        <v>3349</v>
      </c>
      <c r="G31" s="132" t="s">
        <v>12</v>
      </c>
      <c r="H31" s="164">
        <v>100</v>
      </c>
      <c r="I31" s="113">
        <v>100</v>
      </c>
      <c r="J31" s="113">
        <v>100</v>
      </c>
      <c r="K31" s="113">
        <v>100</v>
      </c>
    </row>
    <row r="32" spans="1:11" ht="12.75">
      <c r="A32" s="273"/>
      <c r="B32" s="258"/>
      <c r="C32" s="260"/>
      <c r="D32" s="81">
        <v>29</v>
      </c>
      <c r="E32" s="5"/>
      <c r="F32" s="119">
        <v>3313.3392</v>
      </c>
      <c r="G32" s="132" t="s">
        <v>13</v>
      </c>
      <c r="H32" s="159">
        <v>715</v>
      </c>
      <c r="I32" s="102">
        <v>715</v>
      </c>
      <c r="J32" s="102">
        <v>815</v>
      </c>
      <c r="K32" s="102">
        <v>815</v>
      </c>
    </row>
    <row r="33" spans="1:11" ht="12.75">
      <c r="A33" s="273"/>
      <c r="B33" s="258"/>
      <c r="C33" s="260"/>
      <c r="D33" s="81">
        <v>30</v>
      </c>
      <c r="E33" s="37"/>
      <c r="F33" s="5"/>
      <c r="G33" s="132"/>
      <c r="H33" s="165"/>
      <c r="I33" s="27"/>
      <c r="J33" s="27"/>
      <c r="K33" s="27"/>
    </row>
    <row r="34" spans="1:11" ht="12.75">
      <c r="A34" s="273"/>
      <c r="B34" s="258"/>
      <c r="C34" s="260"/>
      <c r="D34" s="81">
        <v>31</v>
      </c>
      <c r="E34" s="5"/>
      <c r="F34" s="5"/>
      <c r="G34" s="135" t="s">
        <v>14</v>
      </c>
      <c r="H34" s="162">
        <f>SUM(H28:H33)</f>
        <v>1030</v>
      </c>
      <c r="I34" s="34">
        <f>SUM(I28:I33)</f>
        <v>1030</v>
      </c>
      <c r="J34" s="34">
        <f>SUM(J28:J33)</f>
        <v>1130</v>
      </c>
      <c r="K34" s="34">
        <f>SUM(K28:K33)</f>
        <v>1130</v>
      </c>
    </row>
    <row r="35" spans="1:13" ht="12.75">
      <c r="A35" s="273"/>
      <c r="B35" s="258"/>
      <c r="C35" s="260"/>
      <c r="D35" s="81">
        <v>32</v>
      </c>
      <c r="E35" s="5"/>
      <c r="F35" s="5">
        <v>3612</v>
      </c>
      <c r="G35" s="136" t="s">
        <v>67</v>
      </c>
      <c r="H35" s="251">
        <v>11007</v>
      </c>
      <c r="I35" s="251">
        <v>11007</v>
      </c>
      <c r="J35" s="251">
        <v>11273</v>
      </c>
      <c r="K35" s="253">
        <v>11273</v>
      </c>
      <c r="M35" s="252"/>
    </row>
    <row r="36" spans="1:13" ht="12.75">
      <c r="A36" s="273"/>
      <c r="B36" s="258"/>
      <c r="C36" s="260"/>
      <c r="D36" s="81">
        <v>33</v>
      </c>
      <c r="E36" s="5"/>
      <c r="F36" s="5">
        <v>3612</v>
      </c>
      <c r="G36" s="137" t="s">
        <v>190</v>
      </c>
      <c r="H36" s="247"/>
      <c r="I36" s="247"/>
      <c r="J36" s="247"/>
      <c r="K36" s="249"/>
      <c r="M36" s="252"/>
    </row>
    <row r="37" spans="1:13" ht="12.75">
      <c r="A37" s="273"/>
      <c r="B37" s="258"/>
      <c r="C37" s="260"/>
      <c r="D37" s="81">
        <v>34</v>
      </c>
      <c r="E37" s="5"/>
      <c r="F37" s="5">
        <v>3612</v>
      </c>
      <c r="G37" s="137" t="s">
        <v>189</v>
      </c>
      <c r="H37" s="248"/>
      <c r="I37" s="248"/>
      <c r="J37" s="248"/>
      <c r="K37" s="250"/>
      <c r="M37" s="252"/>
    </row>
    <row r="38" spans="1:11" ht="12.75">
      <c r="A38" s="273"/>
      <c r="B38" s="258"/>
      <c r="C38" s="260"/>
      <c r="D38" s="81">
        <v>35</v>
      </c>
      <c r="E38" s="5"/>
      <c r="F38" s="5">
        <v>3632</v>
      </c>
      <c r="G38" s="132" t="s">
        <v>15</v>
      </c>
      <c r="H38" s="161">
        <v>100</v>
      </c>
      <c r="I38" s="26">
        <v>100</v>
      </c>
      <c r="J38" s="26">
        <v>100</v>
      </c>
      <c r="K38" s="26">
        <v>100</v>
      </c>
    </row>
    <row r="39" spans="1:11" ht="12.75">
      <c r="A39" s="273"/>
      <c r="B39" s="258"/>
      <c r="C39" s="260"/>
      <c r="D39" s="81">
        <v>36</v>
      </c>
      <c r="E39" s="5"/>
      <c r="F39" s="5">
        <v>3639</v>
      </c>
      <c r="G39" s="132" t="s">
        <v>92</v>
      </c>
      <c r="H39" s="161">
        <v>50</v>
      </c>
      <c r="I39" s="26">
        <v>50</v>
      </c>
      <c r="J39" s="26">
        <v>50</v>
      </c>
      <c r="K39" s="26">
        <v>50</v>
      </c>
    </row>
    <row r="40" spans="1:11" ht="12.75">
      <c r="A40" s="273"/>
      <c r="B40" s="258"/>
      <c r="C40" s="260"/>
      <c r="D40" s="81">
        <v>37</v>
      </c>
      <c r="E40" s="5"/>
      <c r="F40" s="5">
        <v>3639</v>
      </c>
      <c r="G40" s="132" t="s">
        <v>79</v>
      </c>
      <c r="H40" s="166">
        <v>1350</v>
      </c>
      <c r="I40" s="30">
        <v>1350</v>
      </c>
      <c r="J40" s="30">
        <v>1350</v>
      </c>
      <c r="K40" s="30">
        <v>1350</v>
      </c>
    </row>
    <row r="41" spans="1:11" ht="12.75">
      <c r="A41" s="273"/>
      <c r="B41" s="258"/>
      <c r="C41" s="260"/>
      <c r="D41" s="81">
        <v>38</v>
      </c>
      <c r="E41" s="5"/>
      <c r="F41" s="119" t="s">
        <v>169</v>
      </c>
      <c r="G41" s="132" t="s">
        <v>80</v>
      </c>
      <c r="H41" s="166">
        <v>400</v>
      </c>
      <c r="I41" s="30">
        <v>400</v>
      </c>
      <c r="J41" s="30">
        <v>400</v>
      </c>
      <c r="K41" s="30">
        <v>400</v>
      </c>
    </row>
    <row r="42" spans="1:11" ht="12.75">
      <c r="A42" s="273"/>
      <c r="B42" s="258"/>
      <c r="C42" s="260"/>
      <c r="D42" s="81">
        <v>39</v>
      </c>
      <c r="E42" s="5"/>
      <c r="F42" s="5" t="s">
        <v>170</v>
      </c>
      <c r="G42" s="132" t="s">
        <v>106</v>
      </c>
      <c r="H42" s="161">
        <v>200</v>
      </c>
      <c r="I42" s="26">
        <v>200</v>
      </c>
      <c r="J42" s="26">
        <v>350</v>
      </c>
      <c r="K42" s="26">
        <v>350</v>
      </c>
    </row>
    <row r="43" spans="1:11" ht="12.75">
      <c r="A43" s="273"/>
      <c r="B43" s="258"/>
      <c r="C43" s="260"/>
      <c r="D43" s="81">
        <v>40</v>
      </c>
      <c r="E43" s="5"/>
      <c r="F43" s="5"/>
      <c r="G43" s="135" t="s">
        <v>16</v>
      </c>
      <c r="H43" s="162">
        <f>SUM(H35:H42)</f>
        <v>13107</v>
      </c>
      <c r="I43" s="34">
        <f>SUM(I35:I42)</f>
        <v>13107</v>
      </c>
      <c r="J43" s="34">
        <f>SUM(J35:J42)</f>
        <v>13523</v>
      </c>
      <c r="K43" s="34">
        <f>SUM(K35:K42)</f>
        <v>13523</v>
      </c>
    </row>
    <row r="44" spans="1:11" ht="12.75">
      <c r="A44" s="273"/>
      <c r="B44" s="258"/>
      <c r="C44" s="260"/>
      <c r="D44" s="81">
        <v>41</v>
      </c>
      <c r="E44" s="5">
        <v>2212</v>
      </c>
      <c r="F44" s="5">
        <v>5311</v>
      </c>
      <c r="G44" s="132" t="s">
        <v>17</v>
      </c>
      <c r="H44" s="159">
        <v>60</v>
      </c>
      <c r="I44" s="102">
        <v>60</v>
      </c>
      <c r="J44" s="102">
        <v>60</v>
      </c>
      <c r="K44" s="102">
        <v>60</v>
      </c>
    </row>
    <row r="45" spans="1:11" ht="12.75">
      <c r="A45" s="273"/>
      <c r="B45" s="258"/>
      <c r="C45" s="260"/>
      <c r="D45" s="81">
        <v>42</v>
      </c>
      <c r="E45" s="5">
        <v>2212</v>
      </c>
      <c r="F45" s="5">
        <v>6171</v>
      </c>
      <c r="G45" s="132" t="s">
        <v>113</v>
      </c>
      <c r="H45" s="159">
        <v>40</v>
      </c>
      <c r="I45" s="102">
        <v>40</v>
      </c>
      <c r="J45" s="102">
        <v>40</v>
      </c>
      <c r="K45" s="102">
        <v>40</v>
      </c>
    </row>
    <row r="46" spans="1:11" ht="12.75">
      <c r="A46" s="273"/>
      <c r="B46" s="258"/>
      <c r="C46" s="260"/>
      <c r="D46" s="81">
        <v>43</v>
      </c>
      <c r="E46" s="5">
        <v>2111</v>
      </c>
      <c r="F46" s="5">
        <v>6171</v>
      </c>
      <c r="G46" s="132" t="s">
        <v>172</v>
      </c>
      <c r="H46" s="161">
        <v>30</v>
      </c>
      <c r="I46" s="26">
        <v>30</v>
      </c>
      <c r="J46" s="26">
        <v>30</v>
      </c>
      <c r="K46" s="26">
        <v>30</v>
      </c>
    </row>
    <row r="47" spans="1:11" ht="12.75">
      <c r="A47" s="273"/>
      <c r="B47" s="258"/>
      <c r="C47" s="260"/>
      <c r="D47" s="81">
        <v>44</v>
      </c>
      <c r="E47" s="5"/>
      <c r="F47" s="5"/>
      <c r="G47" s="135" t="s">
        <v>18</v>
      </c>
      <c r="H47" s="162">
        <f>SUM(H44:H46)</f>
        <v>130</v>
      </c>
      <c r="I47" s="34">
        <f>SUM(I44:I46)</f>
        <v>130</v>
      </c>
      <c r="J47" s="34">
        <f>SUM(J44:J46)</f>
        <v>130</v>
      </c>
      <c r="K47" s="34">
        <f>SUM(K44:K46)</f>
        <v>130</v>
      </c>
    </row>
    <row r="48" spans="1:11" ht="12.75">
      <c r="A48" s="273"/>
      <c r="B48" s="258"/>
      <c r="C48" s="260"/>
      <c r="D48" s="81">
        <v>45</v>
      </c>
      <c r="E48" s="5">
        <v>2111</v>
      </c>
      <c r="F48" s="5">
        <v>4351</v>
      </c>
      <c r="G48" s="134" t="s">
        <v>87</v>
      </c>
      <c r="H48" s="159">
        <v>300</v>
      </c>
      <c r="I48" s="102">
        <v>300</v>
      </c>
      <c r="J48" s="102">
        <v>300</v>
      </c>
      <c r="K48" s="102">
        <v>300</v>
      </c>
    </row>
    <row r="49" spans="1:11" ht="12.75">
      <c r="A49" s="273"/>
      <c r="B49" s="258"/>
      <c r="C49" s="260"/>
      <c r="D49" s="81">
        <v>46</v>
      </c>
      <c r="E49" s="5"/>
      <c r="F49" s="5">
        <v>5512</v>
      </c>
      <c r="G49" s="132" t="s">
        <v>142</v>
      </c>
      <c r="H49" s="159">
        <v>30</v>
      </c>
      <c r="I49" s="102">
        <v>30</v>
      </c>
      <c r="J49" s="102">
        <v>30</v>
      </c>
      <c r="K49" s="102">
        <v>30</v>
      </c>
    </row>
    <row r="50" spans="1:11" ht="12.75">
      <c r="A50" s="273"/>
      <c r="B50" s="258"/>
      <c r="C50" s="260"/>
      <c r="D50" s="81">
        <v>47</v>
      </c>
      <c r="E50" s="5">
        <v>2141</v>
      </c>
      <c r="F50" s="5">
        <v>6310</v>
      </c>
      <c r="G50" s="132" t="s">
        <v>95</v>
      </c>
      <c r="H50" s="159">
        <v>15</v>
      </c>
      <c r="I50" s="102">
        <v>15</v>
      </c>
      <c r="J50" s="102">
        <v>15</v>
      </c>
      <c r="K50" s="102">
        <v>15</v>
      </c>
    </row>
    <row r="51" spans="1:14" ht="12.75">
      <c r="A51" s="273"/>
      <c r="B51" s="258"/>
      <c r="C51" s="260"/>
      <c r="D51" s="81">
        <v>48</v>
      </c>
      <c r="E51" s="5">
        <v>2322</v>
      </c>
      <c r="F51" s="119" t="s">
        <v>152</v>
      </c>
      <c r="G51" s="132" t="s">
        <v>112</v>
      </c>
      <c r="H51" s="159">
        <v>0</v>
      </c>
      <c r="I51" s="102">
        <v>0</v>
      </c>
      <c r="J51" s="102">
        <v>0</v>
      </c>
      <c r="K51" s="102">
        <v>0</v>
      </c>
      <c r="L51" s="98"/>
      <c r="N51" s="98"/>
    </row>
    <row r="52" spans="1:11" ht="12.75">
      <c r="A52" s="273"/>
      <c r="B52" s="258"/>
      <c r="C52" s="260"/>
      <c r="D52" s="81">
        <v>49</v>
      </c>
      <c r="E52" s="119" t="s">
        <v>167</v>
      </c>
      <c r="F52" s="105">
        <v>6171</v>
      </c>
      <c r="G52" s="138" t="s">
        <v>154</v>
      </c>
      <c r="H52" s="159">
        <v>0</v>
      </c>
      <c r="I52" s="102">
        <v>0</v>
      </c>
      <c r="J52" s="102">
        <v>0</v>
      </c>
      <c r="K52" s="102">
        <v>0</v>
      </c>
    </row>
    <row r="53" spans="1:11" ht="12.75">
      <c r="A53" s="273"/>
      <c r="B53" s="258"/>
      <c r="C53" s="260"/>
      <c r="D53" s="81">
        <v>50</v>
      </c>
      <c r="E53" s="5"/>
      <c r="F53" s="5"/>
      <c r="G53" s="132"/>
      <c r="H53" s="161">
        <v>0</v>
      </c>
      <c r="I53" s="26">
        <v>0</v>
      </c>
      <c r="J53" s="26">
        <v>0</v>
      </c>
      <c r="K53" s="26">
        <v>0</v>
      </c>
    </row>
    <row r="54" spans="1:11" ht="12.75">
      <c r="A54" s="273"/>
      <c r="B54" s="258"/>
      <c r="C54" s="260"/>
      <c r="D54" s="81">
        <v>51</v>
      </c>
      <c r="E54" s="53" t="s">
        <v>168</v>
      </c>
      <c r="F54" s="5">
        <v>6171</v>
      </c>
      <c r="G54" s="132" t="s">
        <v>143</v>
      </c>
      <c r="H54" s="161">
        <v>150</v>
      </c>
      <c r="I54" s="26">
        <v>150</v>
      </c>
      <c r="J54" s="26">
        <v>150</v>
      </c>
      <c r="K54" s="26">
        <v>150</v>
      </c>
    </row>
    <row r="55" spans="1:11" ht="12.75">
      <c r="A55" s="273"/>
      <c r="B55" s="258"/>
      <c r="C55" s="260"/>
      <c r="D55" s="81">
        <v>52</v>
      </c>
      <c r="E55" s="3">
        <v>2324</v>
      </c>
      <c r="F55" s="3">
        <v>3639</v>
      </c>
      <c r="G55" s="134" t="s">
        <v>218</v>
      </c>
      <c r="H55" s="159">
        <v>500</v>
      </c>
      <c r="I55" s="102">
        <v>500</v>
      </c>
      <c r="J55" s="102">
        <v>500</v>
      </c>
      <c r="K55" s="102">
        <v>500</v>
      </c>
    </row>
    <row r="56" spans="1:11" ht="12.75">
      <c r="A56" s="273"/>
      <c r="B56" s="258"/>
      <c r="C56" s="260"/>
      <c r="D56" s="81">
        <v>53</v>
      </c>
      <c r="E56" s="5">
        <v>2229</v>
      </c>
      <c r="F56" s="5">
        <v>3612</v>
      </c>
      <c r="G56" s="132" t="s">
        <v>227</v>
      </c>
      <c r="H56" s="161">
        <v>0</v>
      </c>
      <c r="I56" s="102">
        <v>54</v>
      </c>
      <c r="J56" s="102">
        <v>0</v>
      </c>
      <c r="K56" s="102">
        <v>0</v>
      </c>
    </row>
    <row r="57" spans="1:11" ht="12.75">
      <c r="A57" s="273"/>
      <c r="B57" s="258"/>
      <c r="C57" s="260"/>
      <c r="D57" s="81">
        <v>54</v>
      </c>
      <c r="E57" s="5"/>
      <c r="F57" s="5"/>
      <c r="G57" s="135" t="s">
        <v>19</v>
      </c>
      <c r="H57" s="162">
        <f>SUM(H48:H56)</f>
        <v>995</v>
      </c>
      <c r="I57" s="34">
        <f>SUM(I48:I56)</f>
        <v>1049</v>
      </c>
      <c r="J57" s="34">
        <f>SUM(J48:J56)</f>
        <v>995</v>
      </c>
      <c r="K57" s="34">
        <f>SUM(K48:K56)</f>
        <v>995</v>
      </c>
    </row>
    <row r="58" spans="1:11" ht="12.75">
      <c r="A58" s="273"/>
      <c r="B58" s="258"/>
      <c r="C58" s="260"/>
      <c r="D58" s="236">
        <v>55</v>
      </c>
      <c r="E58" s="232"/>
      <c r="F58" s="232"/>
      <c r="G58" s="233" t="s">
        <v>20</v>
      </c>
      <c r="H58" s="234">
        <f>H23+H27+H34+H43+H47+H57</f>
        <v>17682</v>
      </c>
      <c r="I58" s="235">
        <f>I23+I27+I34+I43+I47+I57</f>
        <v>17736</v>
      </c>
      <c r="J58" s="235">
        <f>J23+J27+J34+J43+J47+J57</f>
        <v>18405</v>
      </c>
      <c r="K58" s="235">
        <f>K23+K27+K34+K43+K47+K57</f>
        <v>18405</v>
      </c>
    </row>
    <row r="59" spans="1:11" ht="12.75">
      <c r="A59" s="273"/>
      <c r="B59" s="258"/>
      <c r="C59" s="260"/>
      <c r="D59" s="236">
        <v>56</v>
      </c>
      <c r="E59" s="232"/>
      <c r="F59" s="232"/>
      <c r="G59" s="233" t="s">
        <v>25</v>
      </c>
      <c r="H59" s="234">
        <f>H21+H58</f>
        <v>100786</v>
      </c>
      <c r="I59" s="235">
        <f>I21+I58</f>
        <v>101586</v>
      </c>
      <c r="J59" s="235">
        <f>J21+J58</f>
        <v>105003</v>
      </c>
      <c r="K59" s="235">
        <f>K21+K58</f>
        <v>111003</v>
      </c>
    </row>
    <row r="60" spans="1:11" ht="12.75" customHeight="1">
      <c r="A60" s="273"/>
      <c r="B60" s="261" t="s">
        <v>21</v>
      </c>
      <c r="C60" s="268"/>
      <c r="D60" s="81">
        <v>57</v>
      </c>
      <c r="E60" s="5">
        <v>3111</v>
      </c>
      <c r="F60" s="6">
        <v>3639</v>
      </c>
      <c r="G60" s="134" t="s">
        <v>100</v>
      </c>
      <c r="H60" s="161">
        <v>200</v>
      </c>
      <c r="I60" s="26">
        <v>200</v>
      </c>
      <c r="J60" s="26">
        <v>200</v>
      </c>
      <c r="K60" s="26">
        <v>200</v>
      </c>
    </row>
    <row r="61" spans="1:11" ht="12.75" customHeight="1">
      <c r="A61" s="273"/>
      <c r="B61" s="269"/>
      <c r="C61" s="268"/>
      <c r="D61" s="81">
        <v>58</v>
      </c>
      <c r="E61" s="5">
        <v>3112</v>
      </c>
      <c r="F61" s="6">
        <v>3639</v>
      </c>
      <c r="G61" s="133" t="s">
        <v>135</v>
      </c>
      <c r="H61" s="161">
        <v>0</v>
      </c>
      <c r="I61" s="26">
        <v>0</v>
      </c>
      <c r="J61" s="26">
        <v>0</v>
      </c>
      <c r="K61" s="26">
        <v>0</v>
      </c>
    </row>
    <row r="62" spans="1:11" ht="12.75" customHeight="1">
      <c r="A62" s="273"/>
      <c r="B62" s="269"/>
      <c r="C62" s="268"/>
      <c r="D62" s="81">
        <v>59</v>
      </c>
      <c r="E62" s="5">
        <v>3121</v>
      </c>
      <c r="F62" s="6"/>
      <c r="G62" s="133" t="s">
        <v>131</v>
      </c>
      <c r="H62" s="161">
        <v>0</v>
      </c>
      <c r="I62" s="26">
        <v>0</v>
      </c>
      <c r="J62" s="26">
        <v>0</v>
      </c>
      <c r="K62" s="26">
        <v>0</v>
      </c>
    </row>
    <row r="63" spans="1:11" ht="12.75" customHeight="1">
      <c r="A63" s="273"/>
      <c r="B63" s="269"/>
      <c r="C63" s="268"/>
      <c r="D63" s="81">
        <v>60</v>
      </c>
      <c r="E63" s="5">
        <v>3202</v>
      </c>
      <c r="F63" s="6"/>
      <c r="G63" s="133" t="s">
        <v>211</v>
      </c>
      <c r="H63" s="159">
        <v>0</v>
      </c>
      <c r="I63" s="102">
        <f>451+1000</f>
        <v>1451</v>
      </c>
      <c r="J63" s="102">
        <v>0</v>
      </c>
      <c r="K63" s="102">
        <v>0</v>
      </c>
    </row>
    <row r="64" spans="1:11" ht="12.75" customHeight="1">
      <c r="A64" s="273"/>
      <c r="B64" s="269"/>
      <c r="C64" s="268"/>
      <c r="D64" s="81">
        <v>61</v>
      </c>
      <c r="E64" s="5">
        <v>3122</v>
      </c>
      <c r="F64" s="6"/>
      <c r="G64" s="133" t="s">
        <v>132</v>
      </c>
      <c r="H64" s="161">
        <v>0</v>
      </c>
      <c r="I64" s="26">
        <v>0</v>
      </c>
      <c r="J64" s="26">
        <v>0</v>
      </c>
      <c r="K64" s="26">
        <v>0</v>
      </c>
    </row>
    <row r="65" spans="1:11" ht="12.75" customHeight="1">
      <c r="A65" s="273"/>
      <c r="B65" s="269"/>
      <c r="C65" s="268"/>
      <c r="D65" s="236">
        <v>62</v>
      </c>
      <c r="E65" s="232"/>
      <c r="F65" s="232"/>
      <c r="G65" s="233" t="s">
        <v>26</v>
      </c>
      <c r="H65" s="234">
        <f>SUM(H60:H64)</f>
        <v>200</v>
      </c>
      <c r="I65" s="235">
        <f>SUM(I60:I64)</f>
        <v>1651</v>
      </c>
      <c r="J65" s="235">
        <f>SUM(J60:J64)</f>
        <v>200</v>
      </c>
      <c r="K65" s="235">
        <f>SUM(K60:K64)</f>
        <v>200</v>
      </c>
    </row>
    <row r="66" spans="1:11" ht="12.75" customHeight="1" thickBot="1">
      <c r="A66" s="274"/>
      <c r="B66" s="270"/>
      <c r="C66" s="271"/>
      <c r="D66" s="82">
        <v>63</v>
      </c>
      <c r="E66" s="9"/>
      <c r="F66" s="10"/>
      <c r="G66" s="139" t="s">
        <v>62</v>
      </c>
      <c r="H66" s="167">
        <f>H59+H65</f>
        <v>100986</v>
      </c>
      <c r="I66" s="28">
        <f>I59+I65</f>
        <v>103237</v>
      </c>
      <c r="J66" s="28">
        <f>J59+J65</f>
        <v>105203</v>
      </c>
      <c r="K66" s="28">
        <f>K59+K65</f>
        <v>111203</v>
      </c>
    </row>
    <row r="67" spans="1:11" ht="12.75" customHeight="1">
      <c r="A67" s="254" t="s">
        <v>24</v>
      </c>
      <c r="B67" s="257" t="s">
        <v>29</v>
      </c>
      <c r="C67" s="265"/>
      <c r="D67" s="80">
        <v>64</v>
      </c>
      <c r="E67" s="146">
        <v>4111</v>
      </c>
      <c r="F67" s="146" t="s">
        <v>206</v>
      </c>
      <c r="G67" s="147" t="s">
        <v>207</v>
      </c>
      <c r="H67" s="212">
        <v>0</v>
      </c>
      <c r="I67" s="150">
        <v>0</v>
      </c>
      <c r="J67" s="150">
        <v>0</v>
      </c>
      <c r="K67" s="150">
        <v>0</v>
      </c>
    </row>
    <row r="68" spans="1:11" ht="12.75">
      <c r="A68" s="255"/>
      <c r="B68" s="266"/>
      <c r="C68" s="267"/>
      <c r="D68" s="81">
        <v>65</v>
      </c>
      <c r="E68" s="105">
        <v>4112</v>
      </c>
      <c r="F68" s="105"/>
      <c r="G68" s="148" t="s">
        <v>191</v>
      </c>
      <c r="H68" s="213">
        <f>5016+58+249</f>
        <v>5323</v>
      </c>
      <c r="I68" s="127">
        <f>5016+58+249</f>
        <v>5323</v>
      </c>
      <c r="J68" s="127">
        <f>5016+58+249</f>
        <v>5323</v>
      </c>
      <c r="K68" s="215">
        <f>5323+359</f>
        <v>5682</v>
      </c>
    </row>
    <row r="69" spans="1:11" ht="12.75">
      <c r="A69" s="255"/>
      <c r="B69" s="266"/>
      <c r="C69" s="267"/>
      <c r="D69" s="81">
        <v>66</v>
      </c>
      <c r="E69" s="105">
        <v>4116</v>
      </c>
      <c r="F69" s="105">
        <v>3742</v>
      </c>
      <c r="G69" s="148" t="s">
        <v>151</v>
      </c>
      <c r="H69" s="166">
        <v>0</v>
      </c>
      <c r="I69" s="30">
        <v>0</v>
      </c>
      <c r="J69" s="30">
        <v>0</v>
      </c>
      <c r="K69" s="30">
        <v>0</v>
      </c>
    </row>
    <row r="70" spans="1:11" ht="12.75">
      <c r="A70" s="255"/>
      <c r="B70" s="266"/>
      <c r="C70" s="267"/>
      <c r="D70" s="81">
        <v>67</v>
      </c>
      <c r="E70" s="105">
        <v>4116.22</v>
      </c>
      <c r="F70" s="105"/>
      <c r="G70" s="144" t="s">
        <v>134</v>
      </c>
      <c r="H70" s="168">
        <v>600</v>
      </c>
      <c r="I70" s="127">
        <v>600</v>
      </c>
      <c r="J70" s="127">
        <v>600</v>
      </c>
      <c r="K70" s="127">
        <v>600</v>
      </c>
    </row>
    <row r="71" spans="1:11" ht="12.75">
      <c r="A71" s="255"/>
      <c r="B71" s="266"/>
      <c r="C71" s="267"/>
      <c r="D71" s="81">
        <v>68</v>
      </c>
      <c r="E71" s="105">
        <v>4116</v>
      </c>
      <c r="F71" s="105"/>
      <c r="G71" s="144" t="s">
        <v>110</v>
      </c>
      <c r="H71" s="159">
        <v>2500</v>
      </c>
      <c r="I71" s="102">
        <v>2500</v>
      </c>
      <c r="J71" s="102">
        <v>2500</v>
      </c>
      <c r="K71" s="102">
        <v>2500</v>
      </c>
    </row>
    <row r="72" spans="1:11" ht="12.75">
      <c r="A72" s="255"/>
      <c r="B72" s="266"/>
      <c r="C72" s="267"/>
      <c r="D72" s="81">
        <v>69</v>
      </c>
      <c r="E72" s="105">
        <v>4111</v>
      </c>
      <c r="F72" s="105" t="s">
        <v>204</v>
      </c>
      <c r="G72" s="144" t="s">
        <v>205</v>
      </c>
      <c r="H72" s="160">
        <v>130</v>
      </c>
      <c r="I72" s="102">
        <v>130</v>
      </c>
      <c r="J72" s="102">
        <v>0</v>
      </c>
      <c r="K72" s="102">
        <v>0</v>
      </c>
    </row>
    <row r="73" spans="1:11" ht="12.75">
      <c r="A73" s="255"/>
      <c r="B73" s="266"/>
      <c r="C73" s="267"/>
      <c r="D73" s="81">
        <v>70</v>
      </c>
      <c r="E73" s="105">
        <v>4121</v>
      </c>
      <c r="F73" s="105"/>
      <c r="G73" s="144" t="s">
        <v>173</v>
      </c>
      <c r="H73" s="159">
        <v>730</v>
      </c>
      <c r="I73" s="102">
        <v>730</v>
      </c>
      <c r="J73" s="102">
        <v>848</v>
      </c>
      <c r="K73" s="102">
        <v>848</v>
      </c>
    </row>
    <row r="74" spans="1:11" ht="12.75">
      <c r="A74" s="255"/>
      <c r="B74" s="266"/>
      <c r="C74" s="267"/>
      <c r="D74" s="81">
        <v>71</v>
      </c>
      <c r="E74" s="105">
        <v>4116</v>
      </c>
      <c r="F74" s="149" t="s">
        <v>237</v>
      </c>
      <c r="G74" s="144" t="s">
        <v>236</v>
      </c>
      <c r="H74" s="161">
        <v>0</v>
      </c>
      <c r="I74" s="100">
        <v>148</v>
      </c>
      <c r="J74" s="102">
        <v>0</v>
      </c>
      <c r="K74" s="102">
        <v>0</v>
      </c>
    </row>
    <row r="75" spans="1:11" ht="12.75">
      <c r="A75" s="255"/>
      <c r="B75" s="266"/>
      <c r="C75" s="267"/>
      <c r="D75" s="81">
        <v>72</v>
      </c>
      <c r="E75" s="105">
        <v>4122</v>
      </c>
      <c r="F75" s="105" t="s">
        <v>235</v>
      </c>
      <c r="G75" s="144" t="s">
        <v>183</v>
      </c>
      <c r="H75" s="159">
        <v>0</v>
      </c>
      <c r="I75" s="100">
        <v>113</v>
      </c>
      <c r="J75" s="102">
        <v>0</v>
      </c>
      <c r="K75" s="102">
        <v>0</v>
      </c>
    </row>
    <row r="76" spans="1:11" ht="12.75">
      <c r="A76" s="255"/>
      <c r="B76" s="266"/>
      <c r="C76" s="267"/>
      <c r="D76" s="81">
        <v>73</v>
      </c>
      <c r="E76" s="105">
        <v>4122</v>
      </c>
      <c r="F76" s="105"/>
      <c r="G76" s="144" t="s">
        <v>180</v>
      </c>
      <c r="H76" s="159">
        <v>0</v>
      </c>
      <c r="I76" s="102">
        <v>0</v>
      </c>
      <c r="J76" s="102">
        <v>0</v>
      </c>
      <c r="K76" s="102">
        <v>0</v>
      </c>
    </row>
    <row r="77" spans="1:11" ht="12.75">
      <c r="A77" s="255"/>
      <c r="B77" s="266"/>
      <c r="C77" s="267"/>
      <c r="D77" s="81">
        <v>74</v>
      </c>
      <c r="E77" s="105">
        <v>4122</v>
      </c>
      <c r="F77" s="105"/>
      <c r="G77" s="144" t="s">
        <v>199</v>
      </c>
      <c r="H77" s="159">
        <v>0</v>
      </c>
      <c r="I77" s="102">
        <f>0+13</f>
        <v>13</v>
      </c>
      <c r="J77" s="102">
        <v>0</v>
      </c>
      <c r="K77" s="102">
        <v>0</v>
      </c>
    </row>
    <row r="78" spans="1:11" ht="12.75">
      <c r="A78" s="255"/>
      <c r="B78" s="266"/>
      <c r="C78" s="267"/>
      <c r="D78" s="81">
        <v>75</v>
      </c>
      <c r="E78" s="105">
        <v>4116</v>
      </c>
      <c r="F78" s="105" t="s">
        <v>201</v>
      </c>
      <c r="G78" s="144" t="s">
        <v>202</v>
      </c>
      <c r="H78" s="159">
        <v>0</v>
      </c>
      <c r="I78" s="102">
        <f>202+512</f>
        <v>714</v>
      </c>
      <c r="J78" s="102">
        <v>0</v>
      </c>
      <c r="K78" s="102">
        <v>0</v>
      </c>
    </row>
    <row r="79" spans="1:11" ht="12.75">
      <c r="A79" s="255"/>
      <c r="B79" s="266"/>
      <c r="C79" s="267"/>
      <c r="D79" s="236">
        <v>76</v>
      </c>
      <c r="E79" s="237"/>
      <c r="F79" s="237"/>
      <c r="G79" s="238" t="s">
        <v>22</v>
      </c>
      <c r="H79" s="234">
        <f>SUM(H67:H78)</f>
        <v>9283</v>
      </c>
      <c r="I79" s="235">
        <f>SUM(I67:I78)</f>
        <v>10271</v>
      </c>
      <c r="J79" s="235">
        <f>SUM(J67:J78)</f>
        <v>9271</v>
      </c>
      <c r="K79" s="235">
        <f>SUM(K67:K78)</f>
        <v>9630</v>
      </c>
    </row>
    <row r="80" spans="1:11" ht="12.75">
      <c r="A80" s="255"/>
      <c r="B80" s="261" t="s">
        <v>30</v>
      </c>
      <c r="C80" s="260"/>
      <c r="D80" s="81">
        <v>77</v>
      </c>
      <c r="E80" s="149">
        <v>4213</v>
      </c>
      <c r="F80" s="149" t="s">
        <v>149</v>
      </c>
      <c r="G80" s="145" t="s">
        <v>150</v>
      </c>
      <c r="H80" s="159">
        <v>0</v>
      </c>
      <c r="I80" s="102">
        <v>0</v>
      </c>
      <c r="J80" s="102">
        <v>0</v>
      </c>
      <c r="K80" s="102">
        <v>0</v>
      </c>
    </row>
    <row r="81" spans="1:11" ht="12.75">
      <c r="A81" s="255"/>
      <c r="B81" s="258"/>
      <c r="C81" s="260"/>
      <c r="D81" s="81">
        <v>78</v>
      </c>
      <c r="E81" s="149">
        <v>4216</v>
      </c>
      <c r="F81" s="149" t="s">
        <v>237</v>
      </c>
      <c r="G81" s="145" t="s">
        <v>236</v>
      </c>
      <c r="H81" s="159">
        <v>0</v>
      </c>
      <c r="I81" s="100">
        <f>3795</f>
        <v>3795</v>
      </c>
      <c r="J81" s="102">
        <v>0</v>
      </c>
      <c r="K81" s="102">
        <v>0</v>
      </c>
    </row>
    <row r="82" spans="1:11" ht="12.75">
      <c r="A82" s="255"/>
      <c r="B82" s="258"/>
      <c r="C82" s="260"/>
      <c r="D82" s="81">
        <v>79</v>
      </c>
      <c r="E82" s="149">
        <v>4216</v>
      </c>
      <c r="F82" s="149" t="s">
        <v>155</v>
      </c>
      <c r="G82" s="145" t="s">
        <v>156</v>
      </c>
      <c r="H82" s="159">
        <v>0</v>
      </c>
      <c r="I82" s="102">
        <v>0</v>
      </c>
      <c r="J82" s="102">
        <v>0</v>
      </c>
      <c r="K82" s="102">
        <v>0</v>
      </c>
    </row>
    <row r="83" spans="1:11" ht="12.75">
      <c r="A83" s="255"/>
      <c r="B83" s="258"/>
      <c r="C83" s="260"/>
      <c r="D83" s="81">
        <v>80</v>
      </c>
      <c r="E83" s="149">
        <v>4216</v>
      </c>
      <c r="F83" s="149"/>
      <c r="G83" s="145" t="s">
        <v>203</v>
      </c>
      <c r="H83" s="159">
        <v>0</v>
      </c>
      <c r="I83" s="102">
        <v>0</v>
      </c>
      <c r="J83" s="102">
        <v>0</v>
      </c>
      <c r="K83" s="102">
        <v>0</v>
      </c>
    </row>
    <row r="84" spans="1:11" ht="12.75">
      <c r="A84" s="255"/>
      <c r="B84" s="258"/>
      <c r="C84" s="260"/>
      <c r="D84" s="81">
        <v>81</v>
      </c>
      <c r="E84" s="149">
        <v>4221</v>
      </c>
      <c r="F84" s="149"/>
      <c r="G84" s="145" t="s">
        <v>232</v>
      </c>
      <c r="H84" s="159">
        <v>0</v>
      </c>
      <c r="I84" s="102">
        <v>103</v>
      </c>
      <c r="J84" s="102">
        <v>0</v>
      </c>
      <c r="K84" s="102">
        <v>0</v>
      </c>
    </row>
    <row r="85" spans="1:11" ht="12.75">
      <c r="A85" s="255"/>
      <c r="B85" s="258"/>
      <c r="C85" s="260"/>
      <c r="D85" s="81">
        <v>82</v>
      </c>
      <c r="E85" s="149">
        <v>4222</v>
      </c>
      <c r="F85" s="149"/>
      <c r="G85" s="145" t="s">
        <v>233</v>
      </c>
      <c r="H85" s="159">
        <v>0</v>
      </c>
      <c r="I85" s="102">
        <v>82</v>
      </c>
      <c r="J85" s="102">
        <v>0</v>
      </c>
      <c r="K85" s="102">
        <v>0</v>
      </c>
    </row>
    <row r="86" spans="1:11" ht="12.75">
      <c r="A86" s="255"/>
      <c r="B86" s="258"/>
      <c r="C86" s="260"/>
      <c r="D86" s="81">
        <v>83</v>
      </c>
      <c r="E86" s="149">
        <v>4222</v>
      </c>
      <c r="F86" s="149"/>
      <c r="G86" s="145" t="s">
        <v>188</v>
      </c>
      <c r="H86" s="159">
        <v>0</v>
      </c>
      <c r="I86" s="102">
        <v>209</v>
      </c>
      <c r="J86" s="102">
        <v>0</v>
      </c>
      <c r="K86" s="102">
        <v>0</v>
      </c>
    </row>
    <row r="87" spans="1:11" ht="12.75">
      <c r="A87" s="255"/>
      <c r="B87" s="258"/>
      <c r="C87" s="260"/>
      <c r="D87" s="236">
        <v>84</v>
      </c>
      <c r="E87" s="239"/>
      <c r="F87" s="239"/>
      <c r="G87" s="238" t="s">
        <v>23</v>
      </c>
      <c r="H87" s="240">
        <f>SUM(H80:H86)</f>
        <v>0</v>
      </c>
      <c r="I87" s="241">
        <f>SUM(I80:I86)</f>
        <v>4189</v>
      </c>
      <c r="J87" s="242">
        <f>SUM(J80:J86)</f>
        <v>0</v>
      </c>
      <c r="K87" s="242">
        <f>SUM(K80:K86)</f>
        <v>0</v>
      </c>
    </row>
    <row r="88" spans="1:11" ht="13.5" thickBot="1">
      <c r="A88" s="256"/>
      <c r="B88" s="262"/>
      <c r="C88" s="263"/>
      <c r="D88" s="83">
        <v>85</v>
      </c>
      <c r="E88" s="7"/>
      <c r="F88" s="7"/>
      <c r="G88" s="140" t="s">
        <v>63</v>
      </c>
      <c r="H88" s="169">
        <f>H79+H87</f>
        <v>9283</v>
      </c>
      <c r="I88" s="43">
        <f>I79+I87</f>
        <v>14460</v>
      </c>
      <c r="J88" s="43">
        <f>J79+J87</f>
        <v>9271</v>
      </c>
      <c r="K88" s="43">
        <f>K79+K87</f>
        <v>9630</v>
      </c>
    </row>
    <row r="89" spans="1:11" ht="13.5" thickBot="1">
      <c r="A89" s="44"/>
      <c r="B89" s="45"/>
      <c r="C89" s="78"/>
      <c r="D89" s="79">
        <v>86</v>
      </c>
      <c r="E89" s="46"/>
      <c r="F89" s="46"/>
      <c r="G89" s="141" t="s">
        <v>64</v>
      </c>
      <c r="H89" s="170">
        <f>H66+H88</f>
        <v>110269</v>
      </c>
      <c r="I89" s="47">
        <f>I66+I88</f>
        <v>117697</v>
      </c>
      <c r="J89" s="47">
        <f>J66+J88</f>
        <v>114474</v>
      </c>
      <c r="K89" s="47">
        <f>K66+K88</f>
        <v>120833</v>
      </c>
    </row>
    <row r="90" ht="12.75">
      <c r="D90" s="56"/>
    </row>
    <row r="91" ht="12.75">
      <c r="G91" s="38" t="s">
        <v>99</v>
      </c>
    </row>
    <row r="94" ht="12.75">
      <c r="G94" s="48"/>
    </row>
  </sheetData>
  <mergeCells count="15">
    <mergeCell ref="H2:K2"/>
    <mergeCell ref="A2:G2"/>
    <mergeCell ref="M35:M37"/>
    <mergeCell ref="K35:K37"/>
    <mergeCell ref="H35:H37"/>
    <mergeCell ref="I35:I37"/>
    <mergeCell ref="J35:J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4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23" sqref="N2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8" width="14.75390625" style="0" customWidth="1"/>
    <col min="9" max="10" width="15.125" style="0" customWidth="1"/>
  </cols>
  <sheetData>
    <row r="1" spans="1:10" ht="16.5" thickBot="1">
      <c r="A1" s="276" t="s">
        <v>267</v>
      </c>
      <c r="B1" s="276"/>
      <c r="C1" s="276"/>
      <c r="D1" s="276"/>
      <c r="E1" s="276"/>
      <c r="F1" s="275" t="s">
        <v>263</v>
      </c>
      <c r="G1" s="331"/>
      <c r="H1" s="331"/>
      <c r="I1" s="331"/>
      <c r="J1" s="331"/>
    </row>
    <row r="2" spans="1:10" ht="39" customHeight="1" thickBot="1">
      <c r="A2" s="42"/>
      <c r="B2" s="152" t="s">
        <v>27</v>
      </c>
      <c r="C2" s="152" t="s">
        <v>1</v>
      </c>
      <c r="D2" s="152" t="s">
        <v>0</v>
      </c>
      <c r="E2" s="301" t="s">
        <v>2</v>
      </c>
      <c r="F2" s="302"/>
      <c r="G2" s="54" t="s">
        <v>226</v>
      </c>
      <c r="H2" s="54" t="s">
        <v>234</v>
      </c>
      <c r="I2" s="54" t="s">
        <v>247</v>
      </c>
      <c r="J2" s="54" t="s">
        <v>264</v>
      </c>
    </row>
    <row r="3" spans="1:10" ht="12.75">
      <c r="A3" s="315" t="s">
        <v>55</v>
      </c>
      <c r="B3" s="14">
        <v>1</v>
      </c>
      <c r="C3" s="8"/>
      <c r="D3" s="8">
        <v>1014</v>
      </c>
      <c r="E3" s="303" t="s">
        <v>81</v>
      </c>
      <c r="F3" s="304"/>
      <c r="G3" s="121">
        <v>200</v>
      </c>
      <c r="H3" s="121">
        <v>200</v>
      </c>
      <c r="I3" s="121">
        <v>200</v>
      </c>
      <c r="J3" s="121">
        <v>200</v>
      </c>
    </row>
    <row r="4" spans="1:10" ht="12.75">
      <c r="A4" s="316"/>
      <c r="B4" s="15">
        <v>2</v>
      </c>
      <c r="C4" s="5"/>
      <c r="D4" s="5"/>
      <c r="E4" s="305" t="s">
        <v>82</v>
      </c>
      <c r="F4" s="306"/>
      <c r="G4" s="57">
        <f>SUM(G3)</f>
        <v>200</v>
      </c>
      <c r="H4" s="57">
        <f>SUM(H3)</f>
        <v>200</v>
      </c>
      <c r="I4" s="57">
        <f>SUM(I3)</f>
        <v>200</v>
      </c>
      <c r="J4" s="57">
        <f>SUM(J3)</f>
        <v>200</v>
      </c>
    </row>
    <row r="5" spans="1:10" ht="12.75">
      <c r="A5" s="316"/>
      <c r="B5" s="15">
        <v>3</v>
      </c>
      <c r="C5" s="3">
        <v>5323</v>
      </c>
      <c r="D5" s="105" t="s">
        <v>197</v>
      </c>
      <c r="E5" s="307" t="s">
        <v>68</v>
      </c>
      <c r="F5" s="306"/>
      <c r="G5" s="129">
        <v>625</v>
      </c>
      <c r="H5" s="129">
        <v>625</v>
      </c>
      <c r="I5" s="129">
        <v>625</v>
      </c>
      <c r="J5" s="129">
        <v>625</v>
      </c>
    </row>
    <row r="6" spans="1:11" ht="12.75">
      <c r="A6" s="316"/>
      <c r="B6" s="15">
        <v>4</v>
      </c>
      <c r="C6" s="5"/>
      <c r="D6" s="5"/>
      <c r="E6" s="305" t="s">
        <v>69</v>
      </c>
      <c r="F6" s="306"/>
      <c r="G6" s="58">
        <f>SUM(G5)</f>
        <v>625</v>
      </c>
      <c r="H6" s="58">
        <f>SUM(H5)</f>
        <v>625</v>
      </c>
      <c r="I6" s="58">
        <f>SUM(I5)</f>
        <v>625</v>
      </c>
      <c r="J6" s="58">
        <f>SUM(J5)</f>
        <v>625</v>
      </c>
      <c r="K6" s="1"/>
    </row>
    <row r="7" spans="1:10" ht="12.75">
      <c r="A7" s="316"/>
      <c r="B7" s="15">
        <v>5</v>
      </c>
      <c r="C7" s="5"/>
      <c r="D7" s="5">
        <v>3111</v>
      </c>
      <c r="E7" s="258" t="s">
        <v>41</v>
      </c>
      <c r="F7" s="246"/>
      <c r="G7" s="103">
        <v>1943</v>
      </c>
      <c r="H7" s="103">
        <v>1943</v>
      </c>
      <c r="I7" s="103">
        <f>1581+362</f>
        <v>1943</v>
      </c>
      <c r="J7" s="103">
        <f>1581+362</f>
        <v>1943</v>
      </c>
    </row>
    <row r="8" spans="1:10" ht="12.75">
      <c r="A8" s="316"/>
      <c r="B8" s="15">
        <v>6</v>
      </c>
      <c r="C8" s="5"/>
      <c r="D8" s="5">
        <v>3119</v>
      </c>
      <c r="E8" s="258" t="s">
        <v>37</v>
      </c>
      <c r="F8" s="246"/>
      <c r="G8" s="103">
        <v>1389</v>
      </c>
      <c r="H8" s="103">
        <f>1389+202</f>
        <v>1591</v>
      </c>
      <c r="I8" s="103">
        <f>1045+172</f>
        <v>1217</v>
      </c>
      <c r="J8" s="103">
        <f>1045+172</f>
        <v>1217</v>
      </c>
    </row>
    <row r="9" spans="1:10" ht="12.75">
      <c r="A9" s="316"/>
      <c r="B9" s="15">
        <v>7</v>
      </c>
      <c r="C9" s="5"/>
      <c r="D9" s="5">
        <v>3113</v>
      </c>
      <c r="E9" s="258" t="s">
        <v>38</v>
      </c>
      <c r="F9" s="246"/>
      <c r="G9" s="103">
        <v>5092</v>
      </c>
      <c r="H9" s="103">
        <f>5092+512</f>
        <v>5604</v>
      </c>
      <c r="I9" s="103">
        <f>4200+792</f>
        <v>4992</v>
      </c>
      <c r="J9" s="103">
        <f>4200+792</f>
        <v>4992</v>
      </c>
    </row>
    <row r="10" spans="1:10" ht="12.75">
      <c r="A10" s="316"/>
      <c r="B10" s="15">
        <v>8</v>
      </c>
      <c r="C10" s="5"/>
      <c r="D10" s="5">
        <v>3141</v>
      </c>
      <c r="E10" s="258" t="s">
        <v>39</v>
      </c>
      <c r="F10" s="246"/>
      <c r="G10" s="122">
        <v>1536</v>
      </c>
      <c r="H10" s="151">
        <f>1536+120+113</f>
        <v>1769</v>
      </c>
      <c r="I10" s="122">
        <f>1116+481</f>
        <v>1597</v>
      </c>
      <c r="J10" s="151">
        <f>1116+481+350</f>
        <v>1947</v>
      </c>
    </row>
    <row r="11" spans="1:11" ht="12.75">
      <c r="A11" s="316"/>
      <c r="B11" s="15">
        <v>9</v>
      </c>
      <c r="C11" s="5"/>
      <c r="D11" s="5">
        <v>3111</v>
      </c>
      <c r="E11" s="308" t="s">
        <v>145</v>
      </c>
      <c r="F11" s="309"/>
      <c r="G11" s="122">
        <v>0</v>
      </c>
      <c r="H11" s="122">
        <v>0</v>
      </c>
      <c r="I11" s="122">
        <v>0</v>
      </c>
      <c r="J11" s="122">
        <v>0</v>
      </c>
      <c r="K11" s="93"/>
    </row>
    <row r="12" spans="1:10" ht="12.75">
      <c r="A12" s="316"/>
      <c r="B12" s="15">
        <v>10</v>
      </c>
      <c r="C12" s="5"/>
      <c r="D12" s="5"/>
      <c r="E12" s="308" t="s">
        <v>212</v>
      </c>
      <c r="F12" s="309"/>
      <c r="G12" s="195">
        <f>2000+1000</f>
        <v>3000</v>
      </c>
      <c r="H12" s="195">
        <f>2000+1000-1170</f>
        <v>1830</v>
      </c>
      <c r="I12" s="123">
        <v>2000</v>
      </c>
      <c r="J12" s="123">
        <v>2000</v>
      </c>
    </row>
    <row r="13" spans="1:10" ht="12.75">
      <c r="A13" s="316"/>
      <c r="B13" s="15">
        <v>11</v>
      </c>
      <c r="C13" s="5"/>
      <c r="D13" s="5"/>
      <c r="E13" s="280" t="s">
        <v>213</v>
      </c>
      <c r="F13" s="281"/>
      <c r="G13" s="60">
        <v>500</v>
      </c>
      <c r="H13" s="60">
        <v>500</v>
      </c>
      <c r="I13" s="60">
        <v>500</v>
      </c>
      <c r="J13" s="60">
        <v>500</v>
      </c>
    </row>
    <row r="14" spans="1:10" ht="12.75">
      <c r="A14" s="316"/>
      <c r="B14" s="15">
        <v>12</v>
      </c>
      <c r="C14" s="5"/>
      <c r="D14" s="5"/>
      <c r="E14" s="279" t="s">
        <v>42</v>
      </c>
      <c r="F14" s="246"/>
      <c r="G14" s="61">
        <f>SUM(G7:G13)</f>
        <v>13460</v>
      </c>
      <c r="H14" s="61">
        <f>SUM(H7:H13)</f>
        <v>13237</v>
      </c>
      <c r="I14" s="61">
        <f>SUM(I7:I13)</f>
        <v>12249</v>
      </c>
      <c r="J14" s="61">
        <f>SUM(J7:J13)</f>
        <v>12599</v>
      </c>
    </row>
    <row r="15" spans="1:10" ht="12.75">
      <c r="A15" s="316"/>
      <c r="B15" s="15">
        <v>13</v>
      </c>
      <c r="C15" s="5"/>
      <c r="D15" s="5">
        <v>3319</v>
      </c>
      <c r="E15" s="258" t="s">
        <v>164</v>
      </c>
      <c r="F15" s="246"/>
      <c r="G15" s="103">
        <v>100</v>
      </c>
      <c r="H15" s="103">
        <v>100</v>
      </c>
      <c r="I15" s="103">
        <v>100</v>
      </c>
      <c r="J15" s="103">
        <v>100</v>
      </c>
    </row>
    <row r="16" spans="1:10" ht="12.75">
      <c r="A16" s="316"/>
      <c r="B16" s="15">
        <v>14</v>
      </c>
      <c r="C16" s="5"/>
      <c r="D16" s="5">
        <v>3319</v>
      </c>
      <c r="E16" s="258" t="s">
        <v>165</v>
      </c>
      <c r="F16" s="246"/>
      <c r="G16" s="103">
        <v>900</v>
      </c>
      <c r="H16" s="103">
        <v>900</v>
      </c>
      <c r="I16" s="103">
        <v>900</v>
      </c>
      <c r="J16" s="99">
        <v>950</v>
      </c>
    </row>
    <row r="17" spans="1:10" ht="12.75">
      <c r="A17" s="316"/>
      <c r="B17" s="15">
        <v>15</v>
      </c>
      <c r="C17" s="5"/>
      <c r="D17" s="5">
        <v>3349</v>
      </c>
      <c r="E17" s="258" t="s">
        <v>12</v>
      </c>
      <c r="F17" s="246"/>
      <c r="G17" s="59">
        <v>300</v>
      </c>
      <c r="H17" s="59">
        <v>300</v>
      </c>
      <c r="I17" s="59">
        <v>300</v>
      </c>
      <c r="J17" s="59">
        <v>300</v>
      </c>
    </row>
    <row r="18" spans="1:10" ht="12.75">
      <c r="A18" s="316"/>
      <c r="B18" s="49">
        <v>16</v>
      </c>
      <c r="C18" s="5"/>
      <c r="D18" s="105">
        <v>3392</v>
      </c>
      <c r="E18" s="310" t="s">
        <v>221</v>
      </c>
      <c r="F18" s="311"/>
      <c r="G18" s="103">
        <v>300</v>
      </c>
      <c r="H18" s="103">
        <v>300</v>
      </c>
      <c r="I18" s="103">
        <v>146</v>
      </c>
      <c r="J18" s="99">
        <f>146+74</f>
        <v>220</v>
      </c>
    </row>
    <row r="19" spans="1:10" ht="12.75">
      <c r="A19" s="316"/>
      <c r="B19" s="15">
        <v>17</v>
      </c>
      <c r="C19" s="5"/>
      <c r="D19" s="50" t="s">
        <v>184</v>
      </c>
      <c r="E19" s="258" t="s">
        <v>174</v>
      </c>
      <c r="F19" s="246"/>
      <c r="G19" s="103">
        <f>4020+386+99+600+1131</f>
        <v>6236</v>
      </c>
      <c r="H19" s="103">
        <f>4020+386+99+600+1131</f>
        <v>6236</v>
      </c>
      <c r="I19" s="103">
        <v>7090</v>
      </c>
      <c r="J19" s="103">
        <v>7090</v>
      </c>
    </row>
    <row r="20" spans="1:10" ht="12.75">
      <c r="A20" s="316"/>
      <c r="B20" s="15">
        <v>18</v>
      </c>
      <c r="C20" s="5"/>
      <c r="D20" s="5">
        <v>3399</v>
      </c>
      <c r="E20" s="258" t="s">
        <v>101</v>
      </c>
      <c r="F20" s="246"/>
      <c r="G20" s="103">
        <v>120</v>
      </c>
      <c r="H20" s="103">
        <v>120</v>
      </c>
      <c r="I20" s="103">
        <v>150</v>
      </c>
      <c r="J20" s="103">
        <v>150</v>
      </c>
    </row>
    <row r="21" spans="1:10" ht="12.75">
      <c r="A21" s="316"/>
      <c r="B21" s="155">
        <v>19</v>
      </c>
      <c r="C21" s="5"/>
      <c r="D21" s="5" t="s">
        <v>73</v>
      </c>
      <c r="E21" s="258" t="s">
        <v>97</v>
      </c>
      <c r="F21" s="246"/>
      <c r="G21" s="99">
        <f>100+9</f>
        <v>109</v>
      </c>
      <c r="H21" s="103">
        <f>100+9</f>
        <v>109</v>
      </c>
      <c r="I21" s="103">
        <v>100</v>
      </c>
      <c r="J21" s="99">
        <f>100+11</f>
        <v>111</v>
      </c>
    </row>
    <row r="22" spans="1:10" ht="12.75">
      <c r="A22" s="316"/>
      <c r="B22" s="15">
        <v>20</v>
      </c>
      <c r="C22" s="5"/>
      <c r="D22" s="5" t="s">
        <v>73</v>
      </c>
      <c r="E22" s="312" t="s">
        <v>98</v>
      </c>
      <c r="F22" s="313"/>
      <c r="G22" s="99">
        <f>100+163-163</f>
        <v>100</v>
      </c>
      <c r="H22" s="103">
        <f>100+163-163</f>
        <v>100</v>
      </c>
      <c r="I22" s="103">
        <f>100+163-163</f>
        <v>100</v>
      </c>
      <c r="J22" s="99">
        <f>100+76+277</f>
        <v>453</v>
      </c>
    </row>
    <row r="23" spans="1:10" ht="12.75">
      <c r="A23" s="316"/>
      <c r="B23" s="15">
        <v>21</v>
      </c>
      <c r="C23" s="5"/>
      <c r="D23" s="5" t="s">
        <v>73</v>
      </c>
      <c r="E23" s="310" t="s">
        <v>219</v>
      </c>
      <c r="F23" s="311"/>
      <c r="G23" s="99">
        <f>500+500-1000</f>
        <v>0</v>
      </c>
      <c r="H23" s="103">
        <f>500+500-1000</f>
        <v>0</v>
      </c>
      <c r="I23" s="103">
        <v>500</v>
      </c>
      <c r="J23" s="103">
        <v>500</v>
      </c>
    </row>
    <row r="24" spans="1:10" ht="12.75">
      <c r="A24" s="316"/>
      <c r="B24" s="15">
        <v>22</v>
      </c>
      <c r="C24" s="5"/>
      <c r="D24" s="5"/>
      <c r="E24" s="279" t="s">
        <v>43</v>
      </c>
      <c r="F24" s="246"/>
      <c r="G24" s="61">
        <f>SUM(G15:G23)</f>
        <v>8165</v>
      </c>
      <c r="H24" s="61">
        <f>SUM(H15:H23)</f>
        <v>8165</v>
      </c>
      <c r="I24" s="61">
        <f>SUM(I15:I23)</f>
        <v>9386</v>
      </c>
      <c r="J24" s="61">
        <f>SUM(J15:J23)</f>
        <v>9874</v>
      </c>
    </row>
    <row r="25" spans="1:10" ht="12.75">
      <c r="A25" s="316"/>
      <c r="B25" s="156">
        <v>23</v>
      </c>
      <c r="C25" s="5"/>
      <c r="D25" s="3">
        <v>6223</v>
      </c>
      <c r="E25" s="282" t="s">
        <v>96</v>
      </c>
      <c r="F25" s="246"/>
      <c r="G25" s="59">
        <v>400</v>
      </c>
      <c r="H25" s="59">
        <v>400</v>
      </c>
      <c r="I25" s="59">
        <v>400</v>
      </c>
      <c r="J25" s="59">
        <v>400</v>
      </c>
    </row>
    <row r="26" spans="1:10" ht="12.75">
      <c r="A26" s="316"/>
      <c r="B26" s="15">
        <v>24</v>
      </c>
      <c r="C26" s="105">
        <v>5229</v>
      </c>
      <c r="D26" s="105">
        <v>3419</v>
      </c>
      <c r="E26" s="280" t="s">
        <v>185</v>
      </c>
      <c r="F26" s="281"/>
      <c r="G26" s="103">
        <v>200</v>
      </c>
      <c r="H26" s="103">
        <v>200</v>
      </c>
      <c r="I26" s="103">
        <v>0</v>
      </c>
      <c r="J26" s="103">
        <v>0</v>
      </c>
    </row>
    <row r="27" spans="1:10" ht="12.75">
      <c r="A27" s="316"/>
      <c r="B27" s="15">
        <v>25</v>
      </c>
      <c r="C27" s="5">
        <v>5229</v>
      </c>
      <c r="D27" s="3">
        <v>3419</v>
      </c>
      <c r="E27" s="282" t="s">
        <v>175</v>
      </c>
      <c r="F27" s="246"/>
      <c r="G27" s="103">
        <v>200</v>
      </c>
      <c r="H27" s="103">
        <v>200</v>
      </c>
      <c r="I27" s="103">
        <v>200</v>
      </c>
      <c r="J27" s="103">
        <v>200</v>
      </c>
    </row>
    <row r="28" spans="1:10" ht="12.75">
      <c r="A28" s="316"/>
      <c r="B28" s="294">
        <v>26</v>
      </c>
      <c r="C28" s="295" t="s">
        <v>176</v>
      </c>
      <c r="D28" s="296" t="s">
        <v>177</v>
      </c>
      <c r="E28" s="297" t="s">
        <v>94</v>
      </c>
      <c r="F28" s="17" t="s">
        <v>194</v>
      </c>
      <c r="G28" s="103">
        <f>500+200</f>
        <v>700</v>
      </c>
      <c r="H28" s="103">
        <f>500+200</f>
        <v>700</v>
      </c>
      <c r="I28" s="103">
        <f>500+200</f>
        <v>700</v>
      </c>
      <c r="J28" s="103">
        <f>500+200</f>
        <v>700</v>
      </c>
    </row>
    <row r="29" spans="1:10" ht="22.5" customHeight="1">
      <c r="A29" s="316"/>
      <c r="B29" s="294"/>
      <c r="C29" s="295"/>
      <c r="D29" s="296"/>
      <c r="E29" s="298"/>
      <c r="F29" s="84" t="s">
        <v>126</v>
      </c>
      <c r="G29" s="120">
        <v>200</v>
      </c>
      <c r="H29" s="120">
        <v>200</v>
      </c>
      <c r="I29" s="120">
        <v>200</v>
      </c>
      <c r="J29" s="120">
        <v>200</v>
      </c>
    </row>
    <row r="30" spans="1:10" ht="12.75">
      <c r="A30" s="316"/>
      <c r="B30" s="15">
        <v>27</v>
      </c>
      <c r="C30" s="5"/>
      <c r="D30" s="25"/>
      <c r="E30" s="279" t="s">
        <v>85</v>
      </c>
      <c r="F30" s="246"/>
      <c r="G30" s="61">
        <f>SUM(G25:G29)</f>
        <v>1700</v>
      </c>
      <c r="H30" s="61">
        <f>SUM(H25:H29)</f>
        <v>1700</v>
      </c>
      <c r="I30" s="61">
        <f>SUM(I25:I29)</f>
        <v>1500</v>
      </c>
      <c r="J30" s="61">
        <f>SUM(J25:J29)</f>
        <v>1500</v>
      </c>
    </row>
    <row r="31" spans="1:10" ht="12.75">
      <c r="A31" s="316"/>
      <c r="B31" s="15">
        <v>28</v>
      </c>
      <c r="C31" s="5"/>
      <c r="D31" s="5">
        <v>6112</v>
      </c>
      <c r="E31" s="2" t="s">
        <v>74</v>
      </c>
      <c r="F31" s="29"/>
      <c r="G31" s="120">
        <v>1900</v>
      </c>
      <c r="H31" s="120">
        <v>1900</v>
      </c>
      <c r="I31" s="120">
        <v>2000</v>
      </c>
      <c r="J31" s="120">
        <v>2000</v>
      </c>
    </row>
    <row r="32" spans="1:10" ht="12.75">
      <c r="A32" s="316"/>
      <c r="B32" s="15">
        <v>29</v>
      </c>
      <c r="C32" s="5"/>
      <c r="D32" s="5">
        <v>6112</v>
      </c>
      <c r="E32" s="106" t="s">
        <v>220</v>
      </c>
      <c r="F32" s="194"/>
      <c r="G32" s="120">
        <v>700</v>
      </c>
      <c r="H32" s="120">
        <v>700</v>
      </c>
      <c r="I32" s="120">
        <v>0</v>
      </c>
      <c r="J32" s="120">
        <v>0</v>
      </c>
    </row>
    <row r="33" spans="1:10" ht="12.75">
      <c r="A33" s="316"/>
      <c r="B33" s="15">
        <v>30</v>
      </c>
      <c r="C33" s="5"/>
      <c r="D33" s="5">
        <v>6112</v>
      </c>
      <c r="E33" s="258" t="s">
        <v>44</v>
      </c>
      <c r="F33" s="246"/>
      <c r="G33" s="120">
        <v>1100</v>
      </c>
      <c r="H33" s="120">
        <v>1100</v>
      </c>
      <c r="I33" s="120">
        <v>1170</v>
      </c>
      <c r="J33" s="120">
        <v>1170</v>
      </c>
    </row>
    <row r="34" spans="1:10" ht="12.75">
      <c r="A34" s="316"/>
      <c r="B34" s="15">
        <v>31</v>
      </c>
      <c r="C34" s="5"/>
      <c r="D34" s="5">
        <v>6112</v>
      </c>
      <c r="E34" s="258" t="s">
        <v>78</v>
      </c>
      <c r="F34" s="246"/>
      <c r="G34" s="120">
        <v>110</v>
      </c>
      <c r="H34" s="120">
        <v>110</v>
      </c>
      <c r="I34" s="120">
        <v>110</v>
      </c>
      <c r="J34" s="120">
        <v>110</v>
      </c>
    </row>
    <row r="35" spans="1:10" ht="12.75">
      <c r="A35" s="316"/>
      <c r="B35" s="15">
        <v>32</v>
      </c>
      <c r="C35" s="5">
        <v>5492</v>
      </c>
      <c r="D35" s="5">
        <v>6112.71</v>
      </c>
      <c r="E35" s="258" t="s">
        <v>118</v>
      </c>
      <c r="F35" s="246"/>
      <c r="G35" s="59">
        <v>120</v>
      </c>
      <c r="H35" s="59">
        <v>120</v>
      </c>
      <c r="I35" s="59">
        <v>120</v>
      </c>
      <c r="J35" s="59">
        <v>120</v>
      </c>
    </row>
    <row r="36" spans="1:10" ht="12.75">
      <c r="A36" s="316"/>
      <c r="B36" s="15">
        <v>33</v>
      </c>
      <c r="C36" s="5"/>
      <c r="D36" s="105">
        <v>6115</v>
      </c>
      <c r="E36" s="280" t="s">
        <v>238</v>
      </c>
      <c r="F36" s="281"/>
      <c r="G36" s="103">
        <v>0</v>
      </c>
      <c r="H36" s="99">
        <v>180</v>
      </c>
      <c r="I36" s="103">
        <v>0</v>
      </c>
      <c r="J36" s="103">
        <v>0</v>
      </c>
    </row>
    <row r="37" spans="1:12" ht="12.75">
      <c r="A37" s="316"/>
      <c r="B37" s="81">
        <v>34</v>
      </c>
      <c r="C37" s="5"/>
      <c r="D37" s="105">
        <v>6118</v>
      </c>
      <c r="E37" s="280" t="s">
        <v>208</v>
      </c>
      <c r="F37" s="281"/>
      <c r="G37" s="99">
        <f>30+100+50</f>
        <v>180</v>
      </c>
      <c r="H37" s="103">
        <f>30+100+50</f>
        <v>180</v>
      </c>
      <c r="I37" s="103">
        <v>0</v>
      </c>
      <c r="J37" s="103">
        <v>0</v>
      </c>
      <c r="L37" s="196"/>
    </row>
    <row r="38" spans="1:10" ht="12.75">
      <c r="A38" s="316"/>
      <c r="B38" s="15">
        <v>35</v>
      </c>
      <c r="C38" s="5"/>
      <c r="D38" s="119" t="s">
        <v>192</v>
      </c>
      <c r="E38" s="299" t="s">
        <v>193</v>
      </c>
      <c r="F38" s="300"/>
      <c r="G38" s="103">
        <v>19886</v>
      </c>
      <c r="H38" s="103">
        <v>19886</v>
      </c>
      <c r="I38" s="103">
        <v>21738</v>
      </c>
      <c r="J38" s="103">
        <v>21738</v>
      </c>
    </row>
    <row r="39" spans="1:10" ht="12.75">
      <c r="A39" s="316"/>
      <c r="B39" s="15">
        <v>36</v>
      </c>
      <c r="C39" s="5"/>
      <c r="D39" s="5">
        <v>6171</v>
      </c>
      <c r="E39" s="258" t="s">
        <v>45</v>
      </c>
      <c r="F39" s="246"/>
      <c r="G39" s="103">
        <v>250</v>
      </c>
      <c r="H39" s="103">
        <v>250</v>
      </c>
      <c r="I39" s="103">
        <v>250</v>
      </c>
      <c r="J39" s="103">
        <v>250</v>
      </c>
    </row>
    <row r="40" spans="1:10" ht="12.75">
      <c r="A40" s="316"/>
      <c r="B40" s="15">
        <v>37</v>
      </c>
      <c r="C40" s="5"/>
      <c r="D40" s="5">
        <v>6399</v>
      </c>
      <c r="E40" s="258" t="s">
        <v>124</v>
      </c>
      <c r="F40" s="246"/>
      <c r="G40" s="103">
        <f>2000+555-153</f>
        <v>2402</v>
      </c>
      <c r="H40" s="103">
        <f>2000+555-153+692</f>
        <v>3094</v>
      </c>
      <c r="I40" s="103">
        <f>2500+402</f>
        <v>2902</v>
      </c>
      <c r="J40" s="103">
        <f>2500+402</f>
        <v>2902</v>
      </c>
    </row>
    <row r="41" spans="1:10" ht="12.75">
      <c r="A41" s="316"/>
      <c r="B41" s="15">
        <v>38</v>
      </c>
      <c r="C41" s="5"/>
      <c r="D41" s="5">
        <v>6171</v>
      </c>
      <c r="E41" s="258" t="s">
        <v>239</v>
      </c>
      <c r="F41" s="246"/>
      <c r="G41" s="103">
        <v>100</v>
      </c>
      <c r="H41" s="103">
        <v>100</v>
      </c>
      <c r="I41" s="103">
        <v>100</v>
      </c>
      <c r="J41" s="103">
        <v>100</v>
      </c>
    </row>
    <row r="42" spans="1:10" ht="12.75">
      <c r="A42" s="316"/>
      <c r="B42" s="15">
        <v>39</v>
      </c>
      <c r="C42" s="214">
        <v>5141</v>
      </c>
      <c r="D42" s="5">
        <v>6310</v>
      </c>
      <c r="E42" s="258" t="s">
        <v>255</v>
      </c>
      <c r="F42" s="246"/>
      <c r="G42" s="103">
        <v>150</v>
      </c>
      <c r="H42" s="103">
        <v>150</v>
      </c>
      <c r="I42" s="103">
        <v>150</v>
      </c>
      <c r="J42" s="103">
        <v>150</v>
      </c>
    </row>
    <row r="43" spans="1:10" ht="12.75">
      <c r="A43" s="316"/>
      <c r="B43" s="81">
        <v>40</v>
      </c>
      <c r="C43" s="5"/>
      <c r="D43" s="5" t="s">
        <v>228</v>
      </c>
      <c r="E43" s="258" t="s">
        <v>65</v>
      </c>
      <c r="F43" s="246"/>
      <c r="G43" s="103">
        <v>0</v>
      </c>
      <c r="H43" s="103">
        <v>59</v>
      </c>
      <c r="I43" s="103">
        <v>0</v>
      </c>
      <c r="J43" s="99">
        <f>24+26</f>
        <v>50</v>
      </c>
    </row>
    <row r="44" spans="1:10" ht="12.75">
      <c r="A44" s="316"/>
      <c r="B44" s="15">
        <v>41</v>
      </c>
      <c r="C44" s="5" t="s">
        <v>72</v>
      </c>
      <c r="D44" s="5">
        <v>6409</v>
      </c>
      <c r="E44" s="258" t="s">
        <v>195</v>
      </c>
      <c r="F44" s="246"/>
      <c r="G44" s="103">
        <v>186</v>
      </c>
      <c r="H44" s="99">
        <f>186+200</f>
        <v>386</v>
      </c>
      <c r="I44" s="103">
        <v>120</v>
      </c>
      <c r="J44" s="103">
        <v>120</v>
      </c>
    </row>
    <row r="45" spans="1:10" ht="12.75">
      <c r="A45" s="316"/>
      <c r="B45" s="15">
        <v>42</v>
      </c>
      <c r="C45" s="5"/>
      <c r="D45" s="5"/>
      <c r="E45" s="279" t="s">
        <v>46</v>
      </c>
      <c r="F45" s="246"/>
      <c r="G45" s="61">
        <f>SUM(G31:G44)</f>
        <v>27084</v>
      </c>
      <c r="H45" s="61">
        <f>SUM(H31:H44)</f>
        <v>28215</v>
      </c>
      <c r="I45" s="61">
        <f>SUM(I31:I44)</f>
        <v>28660</v>
      </c>
      <c r="J45" s="61">
        <f>SUM(J31:J44)</f>
        <v>28710</v>
      </c>
    </row>
    <row r="46" spans="1:10" ht="12.75">
      <c r="A46" s="316"/>
      <c r="B46" s="15">
        <v>43</v>
      </c>
      <c r="C46" s="5"/>
      <c r="D46" s="5">
        <v>5512</v>
      </c>
      <c r="E46" s="258" t="s">
        <v>224</v>
      </c>
      <c r="F46" s="246"/>
      <c r="G46" s="103">
        <v>705</v>
      </c>
      <c r="H46" s="99">
        <f>705+650</f>
        <v>1355</v>
      </c>
      <c r="I46" s="103">
        <v>734</v>
      </c>
      <c r="J46" s="103">
        <v>734</v>
      </c>
    </row>
    <row r="47" spans="1:10" ht="12.75">
      <c r="A47" s="316"/>
      <c r="B47" s="15">
        <v>44</v>
      </c>
      <c r="C47" s="5"/>
      <c r="D47" s="5">
        <v>5521</v>
      </c>
      <c r="E47" s="258" t="s">
        <v>47</v>
      </c>
      <c r="F47" s="246"/>
      <c r="G47" s="60"/>
      <c r="H47" s="60"/>
      <c r="I47" s="60"/>
      <c r="J47" s="60"/>
    </row>
    <row r="48" spans="1:10" ht="12.75">
      <c r="A48" s="316"/>
      <c r="B48" s="15">
        <v>45</v>
      </c>
      <c r="C48" s="5"/>
      <c r="D48" s="5"/>
      <c r="E48" s="279" t="s">
        <v>48</v>
      </c>
      <c r="F48" s="246"/>
      <c r="G48" s="61">
        <f>SUM(G46:G47)</f>
        <v>705</v>
      </c>
      <c r="H48" s="61">
        <f>SUM(H46:H47)</f>
        <v>1355</v>
      </c>
      <c r="I48" s="61">
        <f>SUM(I46:I47)</f>
        <v>734</v>
      </c>
      <c r="J48" s="61">
        <f>SUM(J46:J47)</f>
        <v>734</v>
      </c>
    </row>
    <row r="49" spans="1:10" ht="12.75">
      <c r="A49" s="316"/>
      <c r="B49" s="15">
        <v>46</v>
      </c>
      <c r="C49" s="5"/>
      <c r="D49" s="5">
        <v>5311</v>
      </c>
      <c r="E49" s="258" t="s">
        <v>49</v>
      </c>
      <c r="F49" s="246"/>
      <c r="G49" s="103">
        <v>3598</v>
      </c>
      <c r="H49" s="103">
        <v>3598</v>
      </c>
      <c r="I49" s="103">
        <v>4240</v>
      </c>
      <c r="J49" s="103">
        <v>4240</v>
      </c>
    </row>
    <row r="50" spans="1:10" ht="12.75">
      <c r="A50" s="316"/>
      <c r="B50" s="15">
        <v>47</v>
      </c>
      <c r="C50" s="5"/>
      <c r="D50" s="5"/>
      <c r="E50" s="279" t="s">
        <v>50</v>
      </c>
      <c r="F50" s="246"/>
      <c r="G50" s="61">
        <f>SUM(G49)</f>
        <v>3598</v>
      </c>
      <c r="H50" s="61">
        <f>SUM(H49)</f>
        <v>3598</v>
      </c>
      <c r="I50" s="61">
        <f>SUM(I49)</f>
        <v>4240</v>
      </c>
      <c r="J50" s="61">
        <f>SUM(J49)</f>
        <v>4240</v>
      </c>
    </row>
    <row r="51" spans="1:10" ht="12.75">
      <c r="A51" s="316"/>
      <c r="B51" s="15">
        <v>48</v>
      </c>
      <c r="C51" s="5" t="s">
        <v>72</v>
      </c>
      <c r="D51" s="5"/>
      <c r="E51" s="282" t="s">
        <v>196</v>
      </c>
      <c r="F51" s="283"/>
      <c r="G51" s="120">
        <v>0</v>
      </c>
      <c r="H51" s="120">
        <v>0</v>
      </c>
      <c r="I51" s="120">
        <v>0</v>
      </c>
      <c r="J51" s="120">
        <v>0</v>
      </c>
    </row>
    <row r="52" spans="1:10" ht="12.75">
      <c r="A52" s="316"/>
      <c r="B52" s="15">
        <v>49</v>
      </c>
      <c r="C52" s="5" t="s">
        <v>72</v>
      </c>
      <c r="D52" s="119" t="s">
        <v>257</v>
      </c>
      <c r="E52" s="292" t="s">
        <v>222</v>
      </c>
      <c r="F52" s="293"/>
      <c r="G52" s="120">
        <v>100</v>
      </c>
      <c r="H52" s="120">
        <v>100</v>
      </c>
      <c r="I52" s="120">
        <v>100</v>
      </c>
      <c r="J52" s="120">
        <v>100</v>
      </c>
    </row>
    <row r="53" spans="1:10" ht="12.75">
      <c r="A53" s="316"/>
      <c r="B53" s="15">
        <v>50</v>
      </c>
      <c r="C53" s="5" t="s">
        <v>72</v>
      </c>
      <c r="D53" s="53" t="s">
        <v>258</v>
      </c>
      <c r="E53" s="280" t="s">
        <v>259</v>
      </c>
      <c r="F53" s="281"/>
      <c r="G53" s="103">
        <v>0</v>
      </c>
      <c r="H53" s="103">
        <f>50+31+25</f>
        <v>106</v>
      </c>
      <c r="I53" s="103">
        <v>0</v>
      </c>
      <c r="J53" s="99">
        <f>0+50</f>
        <v>50</v>
      </c>
    </row>
    <row r="54" spans="1:10" ht="12.75">
      <c r="A54" s="316"/>
      <c r="B54" s="15">
        <v>51</v>
      </c>
      <c r="C54" s="5" t="s">
        <v>52</v>
      </c>
      <c r="D54" s="5">
        <v>4351.59</v>
      </c>
      <c r="E54" s="282" t="s">
        <v>117</v>
      </c>
      <c r="F54" s="246"/>
      <c r="G54" s="103">
        <f>1876+48</f>
        <v>1924</v>
      </c>
      <c r="H54" s="103">
        <f>1876+48</f>
        <v>1924</v>
      </c>
      <c r="I54" s="103">
        <v>2241</v>
      </c>
      <c r="J54" s="103">
        <v>2241</v>
      </c>
    </row>
    <row r="55" spans="1:10" ht="12.75">
      <c r="A55" s="316"/>
      <c r="B55" s="15">
        <v>52</v>
      </c>
      <c r="C55" s="5"/>
      <c r="D55" s="5"/>
      <c r="E55" s="279" t="s">
        <v>51</v>
      </c>
      <c r="F55" s="246"/>
      <c r="G55" s="61">
        <f>SUM(G51:G54)</f>
        <v>2024</v>
      </c>
      <c r="H55" s="61">
        <f>SUM(H51:H54)</f>
        <v>2130</v>
      </c>
      <c r="I55" s="61">
        <f>SUM(I51:I54)</f>
        <v>2341</v>
      </c>
      <c r="J55" s="61">
        <f>SUM(J51:J54)</f>
        <v>2391</v>
      </c>
    </row>
    <row r="56" spans="1:10" ht="12.75">
      <c r="A56" s="316"/>
      <c r="B56" s="15">
        <v>53</v>
      </c>
      <c r="C56" s="5"/>
      <c r="D56" s="53"/>
      <c r="E56" s="340"/>
      <c r="F56" s="341"/>
      <c r="G56" s="59"/>
      <c r="H56" s="59"/>
      <c r="I56" s="59"/>
      <c r="J56" s="99"/>
    </row>
    <row r="57" spans="1:10" ht="12.75">
      <c r="A57" s="316"/>
      <c r="B57" s="15">
        <v>54</v>
      </c>
      <c r="C57" s="214">
        <v>5903</v>
      </c>
      <c r="D57" s="214">
        <v>5213</v>
      </c>
      <c r="E57" s="282" t="s">
        <v>123</v>
      </c>
      <c r="F57" s="246"/>
      <c r="G57" s="103">
        <v>1000</v>
      </c>
      <c r="H57" s="103">
        <v>1000</v>
      </c>
      <c r="I57" s="103">
        <v>1000</v>
      </c>
      <c r="J57" s="103">
        <v>1000</v>
      </c>
    </row>
    <row r="58" spans="1:10" ht="12.75">
      <c r="A58" s="316"/>
      <c r="B58" s="15">
        <v>55</v>
      </c>
      <c r="C58" s="53">
        <v>5169.5171</v>
      </c>
      <c r="D58" s="5" t="s">
        <v>52</v>
      </c>
      <c r="E58" s="282" t="s">
        <v>136</v>
      </c>
      <c r="F58" s="283"/>
      <c r="G58" s="59">
        <v>0</v>
      </c>
      <c r="H58" s="59">
        <v>0</v>
      </c>
      <c r="I58" s="59">
        <v>0</v>
      </c>
      <c r="J58" s="59">
        <v>0</v>
      </c>
    </row>
    <row r="59" spans="1:10" ht="12.75">
      <c r="A59" s="316"/>
      <c r="B59" s="15">
        <v>56</v>
      </c>
      <c r="C59" s="5" t="s">
        <v>52</v>
      </c>
      <c r="D59" s="5">
        <v>3639</v>
      </c>
      <c r="E59" s="282" t="s">
        <v>133</v>
      </c>
      <c r="F59" s="283"/>
      <c r="G59" s="59">
        <v>0</v>
      </c>
      <c r="H59" s="59">
        <v>0</v>
      </c>
      <c r="I59" s="59">
        <v>0</v>
      </c>
      <c r="J59" s="59">
        <v>0</v>
      </c>
    </row>
    <row r="60" spans="1:10" ht="12.75">
      <c r="A60" s="316"/>
      <c r="B60" s="155">
        <v>57</v>
      </c>
      <c r="C60" s="5"/>
      <c r="D60" s="5"/>
      <c r="E60" s="279" t="s">
        <v>111</v>
      </c>
      <c r="F60" s="246"/>
      <c r="G60" s="61">
        <f>G56+G58+G59+G57</f>
        <v>1000</v>
      </c>
      <c r="H60" s="61">
        <f>H56+H58+H59+H57</f>
        <v>1000</v>
      </c>
      <c r="I60" s="61">
        <f>I56+I58+I59+I57</f>
        <v>1000</v>
      </c>
      <c r="J60" s="61">
        <f>J56+J58+J59+J57</f>
        <v>1000</v>
      </c>
    </row>
    <row r="61" spans="1:10" ht="12.75">
      <c r="A61" s="316"/>
      <c r="B61" s="15">
        <v>58</v>
      </c>
      <c r="C61" s="5"/>
      <c r="D61" s="5">
        <v>3635</v>
      </c>
      <c r="E61" s="282" t="s">
        <v>229</v>
      </c>
      <c r="F61" s="246"/>
      <c r="G61" s="103">
        <f>800-800</f>
        <v>0</v>
      </c>
      <c r="H61" s="103">
        <v>40</v>
      </c>
      <c r="I61" s="103">
        <v>40</v>
      </c>
      <c r="J61" s="103">
        <v>40</v>
      </c>
    </row>
    <row r="62" spans="1:10" ht="12.75">
      <c r="A62" s="316"/>
      <c r="B62" s="15">
        <v>59</v>
      </c>
      <c r="C62" s="5"/>
      <c r="D62" s="105">
        <v>3631</v>
      </c>
      <c r="E62" s="337" t="s">
        <v>187</v>
      </c>
      <c r="F62" s="338"/>
      <c r="G62" s="103">
        <f>850+20+1200</f>
        <v>2070</v>
      </c>
      <c r="H62" s="103">
        <f>850+20+1200</f>
        <v>2070</v>
      </c>
      <c r="I62" s="103">
        <v>2120</v>
      </c>
      <c r="J62" s="103">
        <v>2120</v>
      </c>
    </row>
    <row r="63" spans="1:10" ht="12.75">
      <c r="A63" s="316"/>
      <c r="B63" s="15">
        <v>60</v>
      </c>
      <c r="C63" s="5"/>
      <c r="D63" s="119" t="s">
        <v>256</v>
      </c>
      <c r="E63" s="333" t="s">
        <v>144</v>
      </c>
      <c r="F63" s="334"/>
      <c r="G63" s="103">
        <f>60-60</f>
        <v>0</v>
      </c>
      <c r="H63" s="103">
        <f>60-60</f>
        <v>0</v>
      </c>
      <c r="I63" s="103">
        <f>60-60</f>
        <v>0</v>
      </c>
      <c r="J63" s="103">
        <f>60-60</f>
        <v>0</v>
      </c>
    </row>
    <row r="64" spans="1:11" ht="12.75">
      <c r="A64" s="316"/>
      <c r="B64" s="15">
        <v>61</v>
      </c>
      <c r="C64" s="5"/>
      <c r="D64" s="5">
        <v>3612</v>
      </c>
      <c r="E64" s="290" t="s">
        <v>138</v>
      </c>
      <c r="F64" s="246"/>
      <c r="G64" s="103">
        <v>2200</v>
      </c>
      <c r="H64" s="103">
        <f>2200-91</f>
        <v>2109</v>
      </c>
      <c r="I64" s="103">
        <v>4109</v>
      </c>
      <c r="J64" s="99">
        <f>4109-87</f>
        <v>4022</v>
      </c>
      <c r="K64" s="93"/>
    </row>
    <row r="65" spans="1:15" ht="12.75">
      <c r="A65" s="316"/>
      <c r="B65" s="15">
        <v>62</v>
      </c>
      <c r="C65" s="5"/>
      <c r="D65" s="5">
        <v>3634</v>
      </c>
      <c r="E65" s="290" t="s">
        <v>137</v>
      </c>
      <c r="F65" s="246"/>
      <c r="G65" s="103">
        <v>1350</v>
      </c>
      <c r="H65" s="103">
        <v>1350</v>
      </c>
      <c r="I65" s="103">
        <v>1350</v>
      </c>
      <c r="J65" s="103">
        <v>1350</v>
      </c>
      <c r="K65" s="93"/>
      <c r="O65" s="108"/>
    </row>
    <row r="66" spans="1:11" ht="12.75">
      <c r="A66" s="316"/>
      <c r="B66" s="284">
        <v>63</v>
      </c>
      <c r="C66" s="286" t="s">
        <v>163</v>
      </c>
      <c r="D66" s="287"/>
      <c r="E66" s="153" t="s">
        <v>178</v>
      </c>
      <c r="F66" s="154"/>
      <c r="G66" s="251">
        <f>22813-7627+127</f>
        <v>15313</v>
      </c>
      <c r="H66" s="251">
        <f>22813-7627+127</f>
        <v>15313</v>
      </c>
      <c r="I66" s="251">
        <v>20572</v>
      </c>
      <c r="J66" s="251">
        <v>20572</v>
      </c>
      <c r="K66" s="93"/>
    </row>
    <row r="67" spans="1:11" ht="12.75">
      <c r="A67" s="316"/>
      <c r="B67" s="285"/>
      <c r="C67" s="288"/>
      <c r="D67" s="289"/>
      <c r="E67" s="290" t="s">
        <v>200</v>
      </c>
      <c r="F67" s="291"/>
      <c r="G67" s="248"/>
      <c r="H67" s="248"/>
      <c r="I67" s="248"/>
      <c r="J67" s="248"/>
      <c r="K67" s="93"/>
    </row>
    <row r="68" spans="1:11" ht="12.75">
      <c r="A68" s="316"/>
      <c r="B68" s="15">
        <v>64</v>
      </c>
      <c r="C68" s="6"/>
      <c r="D68" s="6">
        <v>3639</v>
      </c>
      <c r="E68" s="153" t="s">
        <v>139</v>
      </c>
      <c r="F68" s="27"/>
      <c r="G68" s="116">
        <v>4000</v>
      </c>
      <c r="H68" s="116">
        <v>4000</v>
      </c>
      <c r="I68" s="116">
        <v>4500</v>
      </c>
      <c r="J68" s="116">
        <v>4500</v>
      </c>
      <c r="K68" s="93"/>
    </row>
    <row r="69" spans="1:11" ht="12.75">
      <c r="A69" s="316"/>
      <c r="B69" s="15">
        <v>65</v>
      </c>
      <c r="C69" s="5"/>
      <c r="D69" s="5">
        <v>3612</v>
      </c>
      <c r="E69" s="290" t="s">
        <v>146</v>
      </c>
      <c r="F69" s="309"/>
      <c r="G69" s="251">
        <f>14220-2000+1104+500</f>
        <v>13824</v>
      </c>
      <c r="H69" s="251">
        <f>14220-2000+1104+500</f>
        <v>13824</v>
      </c>
      <c r="I69" s="251">
        <f>13933-2000+1104</f>
        <v>13037</v>
      </c>
      <c r="J69" s="253">
        <f>13933-2000+1104</f>
        <v>13037</v>
      </c>
      <c r="K69" s="332"/>
    </row>
    <row r="70" spans="1:11" ht="12.75">
      <c r="A70" s="316"/>
      <c r="B70" s="15">
        <v>66</v>
      </c>
      <c r="C70" s="5"/>
      <c r="D70" s="5">
        <v>3612</v>
      </c>
      <c r="E70" s="333" t="s">
        <v>153</v>
      </c>
      <c r="F70" s="334"/>
      <c r="G70" s="248"/>
      <c r="H70" s="248"/>
      <c r="I70" s="248"/>
      <c r="J70" s="250"/>
      <c r="K70" s="332"/>
    </row>
    <row r="71" spans="1:10" ht="12.75">
      <c r="A71" s="316"/>
      <c r="B71" s="15">
        <v>67</v>
      </c>
      <c r="C71" s="5"/>
      <c r="D71" s="5">
        <v>3669</v>
      </c>
      <c r="E71" s="282" t="s">
        <v>93</v>
      </c>
      <c r="F71" s="246"/>
      <c r="G71" s="103">
        <v>60</v>
      </c>
      <c r="H71" s="103">
        <v>60</v>
      </c>
      <c r="I71" s="103">
        <v>50</v>
      </c>
      <c r="J71" s="103">
        <v>50</v>
      </c>
    </row>
    <row r="72" spans="1:10" ht="12.75">
      <c r="A72" s="316"/>
      <c r="B72" s="15">
        <v>68</v>
      </c>
      <c r="C72" s="5"/>
      <c r="D72" s="5"/>
      <c r="E72" s="279" t="s">
        <v>59</v>
      </c>
      <c r="F72" s="246"/>
      <c r="G72" s="61">
        <f>SUM(G61:G71)</f>
        <v>38817</v>
      </c>
      <c r="H72" s="61">
        <f>SUM(H61:H71)</f>
        <v>38766</v>
      </c>
      <c r="I72" s="61">
        <f>SUM(I61:I71)</f>
        <v>45778</v>
      </c>
      <c r="J72" s="61">
        <f>SUM(J61:J71)</f>
        <v>45691</v>
      </c>
    </row>
    <row r="73" spans="1:10" ht="12.75">
      <c r="A73" s="316"/>
      <c r="B73" s="15">
        <v>69</v>
      </c>
      <c r="C73" s="5" t="s">
        <v>76</v>
      </c>
      <c r="D73" s="5">
        <v>6171</v>
      </c>
      <c r="E73" s="282" t="s">
        <v>77</v>
      </c>
      <c r="F73" s="246"/>
      <c r="G73" s="59">
        <v>500</v>
      </c>
      <c r="H73" s="59">
        <v>500</v>
      </c>
      <c r="I73" s="59">
        <v>500</v>
      </c>
      <c r="J73" s="99">
        <f>500+80</f>
        <v>580</v>
      </c>
    </row>
    <row r="74" spans="1:10" ht="12.75">
      <c r="A74" s="316"/>
      <c r="B74" s="15">
        <v>70</v>
      </c>
      <c r="C74" s="5"/>
      <c r="D74" s="5"/>
      <c r="E74" s="279" t="s">
        <v>77</v>
      </c>
      <c r="F74" s="246"/>
      <c r="G74" s="62">
        <f>SUM(G73)</f>
        <v>500</v>
      </c>
      <c r="H74" s="62">
        <f>SUM(H73)</f>
        <v>500</v>
      </c>
      <c r="I74" s="61">
        <f>SUM(I73)</f>
        <v>500</v>
      </c>
      <c r="J74" s="61">
        <f>SUM(J73)</f>
        <v>580</v>
      </c>
    </row>
    <row r="75" spans="1:10" ht="12.75">
      <c r="A75" s="316"/>
      <c r="B75" s="15">
        <v>71</v>
      </c>
      <c r="C75" s="5"/>
      <c r="D75" s="105">
        <v>6409</v>
      </c>
      <c r="E75" s="337" t="s">
        <v>223</v>
      </c>
      <c r="F75" s="338"/>
      <c r="G75" s="107">
        <v>300</v>
      </c>
      <c r="H75" s="107">
        <v>300</v>
      </c>
      <c r="I75" s="116">
        <v>300</v>
      </c>
      <c r="J75" s="116">
        <v>300</v>
      </c>
    </row>
    <row r="76" spans="1:10" ht="12.75">
      <c r="A76" s="316"/>
      <c r="B76" s="15">
        <v>72</v>
      </c>
      <c r="C76" s="5"/>
      <c r="D76" s="5"/>
      <c r="E76" s="279" t="s">
        <v>140</v>
      </c>
      <c r="F76" s="339"/>
      <c r="G76" s="91">
        <f>SUM(G75)</f>
        <v>300</v>
      </c>
      <c r="H76" s="91">
        <f>SUM(H75)</f>
        <v>300</v>
      </c>
      <c r="I76" s="91">
        <f>SUM(I75)</f>
        <v>300</v>
      </c>
      <c r="J76" s="91">
        <f>SUM(J75)</f>
        <v>300</v>
      </c>
    </row>
    <row r="77" spans="1:10" ht="13.5" thickBot="1">
      <c r="A77" s="317"/>
      <c r="B77" s="31">
        <v>73</v>
      </c>
      <c r="C77" s="9"/>
      <c r="D77" s="9"/>
      <c r="E77" s="335" t="s">
        <v>53</v>
      </c>
      <c r="F77" s="336"/>
      <c r="G77" s="63">
        <f>G4+G6+G14+G24+G30+G45+G48+G50+G55+G72+G74+G60+G76</f>
        <v>98178</v>
      </c>
      <c r="H77" s="63">
        <f>H4+H6+H14+H24+H30+H45+H48+H50+H55+H72+H74+H60+H76</f>
        <v>99791</v>
      </c>
      <c r="I77" s="63">
        <f>I4+I6+I14+I24+I30+I45+I48+I50+I55+I72+I74+I60+I76</f>
        <v>107513</v>
      </c>
      <c r="J77" s="63">
        <f>J4+J6+J14+J24+J30+J45+J48+J50+J55+J72+J74+J60+J76</f>
        <v>108444</v>
      </c>
    </row>
    <row r="78" spans="1:12" ht="12.75" customHeight="1">
      <c r="A78" s="254" t="s">
        <v>88</v>
      </c>
      <c r="B78" s="323">
        <v>74</v>
      </c>
      <c r="C78" s="325"/>
      <c r="D78" s="325"/>
      <c r="E78" s="327" t="s">
        <v>109</v>
      </c>
      <c r="F78" s="328"/>
      <c r="G78" s="345">
        <f>111908+24243</f>
        <v>136151</v>
      </c>
      <c r="H78" s="345">
        <f>111908+24243+481+3021+530+758</f>
        <v>140941</v>
      </c>
      <c r="I78" s="348">
        <v>80462</v>
      </c>
      <c r="J78" s="342">
        <f>80462+42588</f>
        <v>123050</v>
      </c>
      <c r="L78" s="252"/>
    </row>
    <row r="79" spans="1:12" ht="12.75">
      <c r="A79" s="255"/>
      <c r="B79" s="323"/>
      <c r="C79" s="325"/>
      <c r="D79" s="325"/>
      <c r="E79" s="327"/>
      <c r="F79" s="328"/>
      <c r="G79" s="346"/>
      <c r="H79" s="346"/>
      <c r="I79" s="247"/>
      <c r="J79" s="343"/>
      <c r="L79" s="252"/>
    </row>
    <row r="80" spans="1:12" ht="12.75">
      <c r="A80" s="255"/>
      <c r="B80" s="323"/>
      <c r="C80" s="325"/>
      <c r="D80" s="325"/>
      <c r="E80" s="327"/>
      <c r="F80" s="328"/>
      <c r="G80" s="346"/>
      <c r="H80" s="346"/>
      <c r="I80" s="247"/>
      <c r="J80" s="343"/>
      <c r="L80" s="252"/>
    </row>
    <row r="81" spans="1:12" ht="12.75">
      <c r="A81" s="255"/>
      <c r="B81" s="323"/>
      <c r="C81" s="325"/>
      <c r="D81" s="325"/>
      <c r="E81" s="327"/>
      <c r="F81" s="328"/>
      <c r="G81" s="346"/>
      <c r="H81" s="346"/>
      <c r="I81" s="247"/>
      <c r="J81" s="343"/>
      <c r="L81" s="252"/>
    </row>
    <row r="82" spans="1:12" ht="12.75">
      <c r="A82" s="255"/>
      <c r="B82" s="323"/>
      <c r="C82" s="325"/>
      <c r="D82" s="325"/>
      <c r="E82" s="327"/>
      <c r="F82" s="328"/>
      <c r="G82" s="346"/>
      <c r="H82" s="346"/>
      <c r="I82" s="247"/>
      <c r="J82" s="343"/>
      <c r="L82" s="252"/>
    </row>
    <row r="83" spans="1:12" ht="12.75">
      <c r="A83" s="255"/>
      <c r="B83" s="323"/>
      <c r="C83" s="325"/>
      <c r="D83" s="325"/>
      <c r="E83" s="327"/>
      <c r="F83" s="328"/>
      <c r="G83" s="346"/>
      <c r="H83" s="346"/>
      <c r="I83" s="247"/>
      <c r="J83" s="343"/>
      <c r="L83" s="252"/>
    </row>
    <row r="84" spans="1:12" ht="12.75">
      <c r="A84" s="255"/>
      <c r="B84" s="324"/>
      <c r="C84" s="326"/>
      <c r="D84" s="326"/>
      <c r="E84" s="329"/>
      <c r="F84" s="330"/>
      <c r="G84" s="347"/>
      <c r="H84" s="347"/>
      <c r="I84" s="248"/>
      <c r="J84" s="344"/>
      <c r="L84" s="252"/>
    </row>
    <row r="85" spans="1:10" ht="12.75">
      <c r="A85" s="255"/>
      <c r="B85" s="5">
        <v>75</v>
      </c>
      <c r="C85" s="5"/>
      <c r="D85" s="5"/>
      <c r="E85" s="260"/>
      <c r="F85" s="320"/>
      <c r="G85" s="66"/>
      <c r="H85" s="66"/>
      <c r="I85" s="66"/>
      <c r="J85" s="66"/>
    </row>
    <row r="86" spans="1:10" ht="12.75">
      <c r="A86" s="255"/>
      <c r="B86" s="5">
        <v>76</v>
      </c>
      <c r="C86" s="5"/>
      <c r="D86" s="5"/>
      <c r="E86" s="260"/>
      <c r="F86" s="320"/>
      <c r="G86" s="66"/>
      <c r="H86" s="66"/>
      <c r="I86" s="66"/>
      <c r="J86" s="66"/>
    </row>
    <row r="87" spans="1:10" ht="13.5" thickBot="1">
      <c r="A87" s="314"/>
      <c r="B87" s="9">
        <v>77</v>
      </c>
      <c r="C87" s="9"/>
      <c r="D87" s="9"/>
      <c r="E87" s="321" t="s">
        <v>54</v>
      </c>
      <c r="F87" s="322"/>
      <c r="G87" s="64">
        <f>SUM(G78:G86)</f>
        <v>136151</v>
      </c>
      <c r="H87" s="64">
        <f>SUM(H78:H86)</f>
        <v>140941</v>
      </c>
      <c r="I87" s="64">
        <f>SUM(I78:I86)</f>
        <v>80462</v>
      </c>
      <c r="J87" s="64">
        <f>SUM(J78:J86)</f>
        <v>123050</v>
      </c>
    </row>
    <row r="88" spans="1:10" ht="13.5" thickBot="1">
      <c r="A88" s="39"/>
      <c r="B88" s="40">
        <v>78</v>
      </c>
      <c r="C88" s="40"/>
      <c r="D88" s="40"/>
      <c r="E88" s="318" t="s">
        <v>66</v>
      </c>
      <c r="F88" s="319"/>
      <c r="G88" s="65">
        <f>G77+G87</f>
        <v>234329</v>
      </c>
      <c r="H88" s="65">
        <f>H77+H87</f>
        <v>240732</v>
      </c>
      <c r="I88" s="65">
        <f>I77+I87</f>
        <v>187975</v>
      </c>
      <c r="J88" s="65">
        <f>J77+J87</f>
        <v>231494</v>
      </c>
    </row>
    <row r="89" ht="12.75">
      <c r="F89" s="48"/>
    </row>
    <row r="90" ht="12.75">
      <c r="F90" s="48" t="s">
        <v>91</v>
      </c>
    </row>
  </sheetData>
  <mergeCells count="102">
    <mergeCell ref="E56:F56"/>
    <mergeCell ref="J66:J67"/>
    <mergeCell ref="J69:J70"/>
    <mergeCell ref="J78:J84"/>
    <mergeCell ref="G78:G84"/>
    <mergeCell ref="H78:H84"/>
    <mergeCell ref="I78:I84"/>
    <mergeCell ref="G69:G70"/>
    <mergeCell ref="H69:H70"/>
    <mergeCell ref="I69:I70"/>
    <mergeCell ref="G66:G67"/>
    <mergeCell ref="E70:F70"/>
    <mergeCell ref="E76:F76"/>
    <mergeCell ref="E72:F72"/>
    <mergeCell ref="E74:F74"/>
    <mergeCell ref="E73:F73"/>
    <mergeCell ref="L78:L84"/>
    <mergeCell ref="K69:K70"/>
    <mergeCell ref="E61:F61"/>
    <mergeCell ref="E59:F59"/>
    <mergeCell ref="E60:F60"/>
    <mergeCell ref="E63:F63"/>
    <mergeCell ref="E77:F77"/>
    <mergeCell ref="E75:F75"/>
    <mergeCell ref="E71:F71"/>
    <mergeCell ref="E62:F62"/>
    <mergeCell ref="F1:J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B78:B84"/>
    <mergeCell ref="C78:C84"/>
    <mergeCell ref="D78:D84"/>
    <mergeCell ref="E78:F84"/>
    <mergeCell ref="E88:F88"/>
    <mergeCell ref="E85:F85"/>
    <mergeCell ref="E87:F87"/>
    <mergeCell ref="E86:F86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18:F18"/>
    <mergeCell ref="E27:F27"/>
    <mergeCell ref="E26:F26"/>
    <mergeCell ref="E25:F25"/>
    <mergeCell ref="E22:F22"/>
    <mergeCell ref="E23:F23"/>
    <mergeCell ref="E8:F8"/>
    <mergeCell ref="E14:F14"/>
    <mergeCell ref="E12:F12"/>
    <mergeCell ref="E13:F13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41:F41"/>
    <mergeCell ref="E38:F38"/>
    <mergeCell ref="E39:F39"/>
    <mergeCell ref="E40:F40"/>
    <mergeCell ref="B28:B29"/>
    <mergeCell ref="C28:C29"/>
    <mergeCell ref="D28:D29"/>
    <mergeCell ref="E28:E29"/>
    <mergeCell ref="E51:F51"/>
    <mergeCell ref="B66:B67"/>
    <mergeCell ref="C66:D67"/>
    <mergeCell ref="E67:F67"/>
    <mergeCell ref="E58:F58"/>
    <mergeCell ref="E55:F55"/>
    <mergeCell ref="E54:F54"/>
    <mergeCell ref="E57:F57"/>
    <mergeCell ref="E53:F53"/>
    <mergeCell ref="E52:F52"/>
    <mergeCell ref="H66:H67"/>
    <mergeCell ref="I66:I67"/>
    <mergeCell ref="E34:F34"/>
    <mergeCell ref="E49:F49"/>
    <mergeCell ref="E50:F50"/>
    <mergeCell ref="E44:F44"/>
    <mergeCell ref="E45:F45"/>
    <mergeCell ref="E47:F47"/>
    <mergeCell ref="E36:F36"/>
    <mergeCell ref="E43:F43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workbookViewId="0" topLeftCell="A25">
      <selection activeCell="M22" sqref="M22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6" width="18.00390625" style="0" customWidth="1"/>
    <col min="7" max="7" width="15.875" style="0" customWidth="1"/>
    <col min="8" max="8" width="16.875" style="0" customWidth="1"/>
    <col min="9" max="9" width="17.625" style="0" customWidth="1"/>
  </cols>
  <sheetData>
    <row r="1" ht="12.75"/>
    <row r="2" spans="1:4" ht="15.75">
      <c r="A2" s="356" t="s">
        <v>268</v>
      </c>
      <c r="B2" s="356"/>
      <c r="C2" s="356"/>
      <c r="D2" s="356"/>
    </row>
    <row r="3" spans="1:8" ht="16.5" thickBot="1">
      <c r="A3" s="24"/>
      <c r="B3" s="24"/>
      <c r="C3" s="24"/>
      <c r="D3" s="24"/>
      <c r="E3" s="275" t="s">
        <v>263</v>
      </c>
      <c r="F3" s="275"/>
      <c r="G3" s="275"/>
      <c r="H3" s="275"/>
    </row>
    <row r="4" spans="1:8" ht="39" customHeight="1" thickBot="1">
      <c r="A4" s="16" t="s">
        <v>27</v>
      </c>
      <c r="B4" s="13" t="s">
        <v>1</v>
      </c>
      <c r="C4" s="13" t="s">
        <v>0</v>
      </c>
      <c r="D4" s="143" t="s">
        <v>2</v>
      </c>
      <c r="E4" s="204" t="s">
        <v>226</v>
      </c>
      <c r="F4" s="54" t="s">
        <v>234</v>
      </c>
      <c r="G4" s="54" t="s">
        <v>247</v>
      </c>
      <c r="H4" s="54" t="s">
        <v>264</v>
      </c>
    </row>
    <row r="5" spans="1:8" ht="12.75">
      <c r="A5" s="14">
        <v>1</v>
      </c>
      <c r="B5" s="8">
        <v>8115</v>
      </c>
      <c r="C5" s="8"/>
      <c r="D5" s="171" t="s">
        <v>84</v>
      </c>
      <c r="E5" s="178">
        <v>-230</v>
      </c>
      <c r="F5" s="124">
        <v>-230</v>
      </c>
      <c r="G5" s="124">
        <v>-230</v>
      </c>
      <c r="H5" s="124">
        <v>-230</v>
      </c>
    </row>
    <row r="6" spans="1:8" ht="12.75">
      <c r="A6" s="15">
        <v>2</v>
      </c>
      <c r="B6" s="5">
        <v>8115</v>
      </c>
      <c r="C6" s="5"/>
      <c r="D6" s="136" t="s">
        <v>71</v>
      </c>
      <c r="E6" s="151">
        <f>26136+3484</f>
        <v>29620</v>
      </c>
      <c r="F6" s="101">
        <f>26136+3484+607-864+618</f>
        <v>29981</v>
      </c>
      <c r="G6" s="104">
        <v>35793</v>
      </c>
      <c r="H6" s="101">
        <f>35793+6392</f>
        <v>42185</v>
      </c>
    </row>
    <row r="7" spans="1:8" ht="12.75">
      <c r="A7" s="15">
        <v>3</v>
      </c>
      <c r="B7" s="5">
        <v>8115</v>
      </c>
      <c r="C7" s="5"/>
      <c r="D7" s="132" t="s">
        <v>105</v>
      </c>
      <c r="E7" s="151">
        <v>2783</v>
      </c>
      <c r="F7" s="104">
        <v>2783</v>
      </c>
      <c r="G7" s="104">
        <v>2420</v>
      </c>
      <c r="H7" s="104">
        <v>2420</v>
      </c>
    </row>
    <row r="8" spans="1:8" ht="12.75">
      <c r="A8" s="15">
        <v>4</v>
      </c>
      <c r="B8" s="5">
        <v>8115</v>
      </c>
      <c r="C8" s="2"/>
      <c r="D8" s="132" t="s">
        <v>102</v>
      </c>
      <c r="E8" s="179">
        <v>0</v>
      </c>
      <c r="F8" s="114">
        <v>0</v>
      </c>
      <c r="G8" s="114">
        <v>0</v>
      </c>
      <c r="H8" s="114">
        <v>0</v>
      </c>
    </row>
    <row r="9" spans="1:8" s="52" customFormat="1" ht="12.75" customHeight="1">
      <c r="A9" s="49">
        <v>5</v>
      </c>
      <c r="B9" s="50">
        <v>8115</v>
      </c>
      <c r="C9" s="51"/>
      <c r="D9" s="172" t="s">
        <v>103</v>
      </c>
      <c r="E9" s="180">
        <v>0</v>
      </c>
      <c r="F9" s="115">
        <v>0</v>
      </c>
      <c r="G9" s="115">
        <v>0</v>
      </c>
      <c r="H9" s="115">
        <v>0</v>
      </c>
    </row>
    <row r="10" spans="1:8" ht="12.75">
      <c r="A10" s="15">
        <v>6</v>
      </c>
      <c r="B10" s="5">
        <v>8115</v>
      </c>
      <c r="C10" s="2"/>
      <c r="D10" s="134" t="s">
        <v>260</v>
      </c>
      <c r="E10" s="122">
        <f>-350+350</f>
        <v>0</v>
      </c>
      <c r="F10" s="104">
        <f>-350+350</f>
        <v>0</v>
      </c>
      <c r="G10" s="104">
        <f>-350+350</f>
        <v>0</v>
      </c>
      <c r="H10" s="101">
        <f>-1350+1350-379</f>
        <v>-379</v>
      </c>
    </row>
    <row r="11" spans="1:8" ht="12.75">
      <c r="A11" s="15">
        <v>7</v>
      </c>
      <c r="B11" s="5">
        <v>8115</v>
      </c>
      <c r="C11" s="2"/>
      <c r="D11" s="132" t="s">
        <v>127</v>
      </c>
      <c r="E11" s="181">
        <v>0</v>
      </c>
      <c r="F11" s="36">
        <v>0</v>
      </c>
      <c r="G11" s="36">
        <v>0</v>
      </c>
      <c r="H11" s="36">
        <v>0</v>
      </c>
    </row>
    <row r="12" spans="1:8" ht="12.75">
      <c r="A12" s="15">
        <v>8</v>
      </c>
      <c r="B12" s="5">
        <v>8115</v>
      </c>
      <c r="C12" s="2"/>
      <c r="D12" s="173" t="s">
        <v>253</v>
      </c>
      <c r="E12" s="182">
        <f>-5317-18000+1260-6000</f>
        <v>-28057</v>
      </c>
      <c r="F12" s="200">
        <f>-5317-18000+1260-6000</f>
        <v>-28057</v>
      </c>
      <c r="G12" s="200">
        <f>-9400-27000+1260</f>
        <v>-35140</v>
      </c>
      <c r="H12" s="223">
        <f>-9080-33000+1260</f>
        <v>-40820</v>
      </c>
    </row>
    <row r="13" spans="1:8" ht="12.75">
      <c r="A13" s="15">
        <v>9</v>
      </c>
      <c r="B13" s="5">
        <v>8115</v>
      </c>
      <c r="C13" s="2"/>
      <c r="D13" s="137" t="s">
        <v>248</v>
      </c>
      <c r="E13" s="122">
        <v>0</v>
      </c>
      <c r="F13" s="104">
        <v>0</v>
      </c>
      <c r="G13" s="104">
        <f>-2109-2000+4109</f>
        <v>0</v>
      </c>
      <c r="H13" s="104">
        <f>-2022-2000+4022</f>
        <v>0</v>
      </c>
    </row>
    <row r="14" spans="1:8" ht="12.75">
      <c r="A14" s="15">
        <v>10</v>
      </c>
      <c r="B14" s="5">
        <v>8124</v>
      </c>
      <c r="C14" s="2"/>
      <c r="D14" s="132" t="s">
        <v>115</v>
      </c>
      <c r="E14" s="122">
        <v>0</v>
      </c>
      <c r="F14" s="104">
        <v>0</v>
      </c>
      <c r="G14" s="104">
        <v>0</v>
      </c>
      <c r="H14" s="104">
        <v>0</v>
      </c>
    </row>
    <row r="15" spans="1:8" ht="12.75">
      <c r="A15" s="15">
        <v>11</v>
      </c>
      <c r="B15" s="5">
        <v>8115</v>
      </c>
      <c r="C15" s="2"/>
      <c r="D15" s="132" t="s">
        <v>144</v>
      </c>
      <c r="E15" s="122">
        <f>-13-60+60-30</f>
        <v>-43</v>
      </c>
      <c r="F15" s="104">
        <f>-13-60+60-30+30-30-100</f>
        <v>-143</v>
      </c>
      <c r="G15" s="104">
        <v>-110</v>
      </c>
      <c r="H15" s="101">
        <f>-110+7</f>
        <v>-103</v>
      </c>
    </row>
    <row r="16" spans="1:8" ht="12.75">
      <c r="A16" s="15">
        <v>12</v>
      </c>
      <c r="B16" s="5">
        <v>8124</v>
      </c>
      <c r="C16" s="2"/>
      <c r="D16" s="132" t="s">
        <v>116</v>
      </c>
      <c r="E16" s="122">
        <v>0</v>
      </c>
      <c r="F16" s="104">
        <v>0</v>
      </c>
      <c r="G16" s="104">
        <v>0</v>
      </c>
      <c r="H16" s="104">
        <v>0</v>
      </c>
    </row>
    <row r="17" spans="1:8" ht="12.75">
      <c r="A17" s="15">
        <v>13</v>
      </c>
      <c r="B17" s="5">
        <v>8113</v>
      </c>
      <c r="C17" s="2"/>
      <c r="D17" s="132" t="s">
        <v>128</v>
      </c>
      <c r="E17" s="122">
        <v>0</v>
      </c>
      <c r="F17" s="104">
        <v>0</v>
      </c>
      <c r="G17" s="104">
        <v>0</v>
      </c>
      <c r="H17" s="104">
        <v>0</v>
      </c>
    </row>
    <row r="18" spans="1:8" ht="12.75">
      <c r="A18" s="15">
        <v>14</v>
      </c>
      <c r="B18" s="5">
        <v>8114</v>
      </c>
      <c r="C18" s="2"/>
      <c r="D18" s="132" t="s">
        <v>129</v>
      </c>
      <c r="E18" s="122">
        <v>0</v>
      </c>
      <c r="F18" s="104">
        <v>0</v>
      </c>
      <c r="G18" s="104">
        <v>0</v>
      </c>
      <c r="H18" s="104">
        <v>0</v>
      </c>
    </row>
    <row r="19" spans="1:8" ht="12.75">
      <c r="A19" s="15">
        <v>15</v>
      </c>
      <c r="B19" s="105">
        <v>8124</v>
      </c>
      <c r="C19" s="106"/>
      <c r="D19" s="138" t="s">
        <v>162</v>
      </c>
      <c r="E19" s="122">
        <v>-3365</v>
      </c>
      <c r="F19" s="104">
        <v>-3365</v>
      </c>
      <c r="G19" s="104">
        <v>-1044</v>
      </c>
      <c r="H19" s="104">
        <v>-1044</v>
      </c>
    </row>
    <row r="20" spans="1:8" ht="12.75">
      <c r="A20" s="15">
        <v>16</v>
      </c>
      <c r="B20" s="105">
        <v>8124</v>
      </c>
      <c r="C20" s="106"/>
      <c r="D20" s="138" t="s">
        <v>107</v>
      </c>
      <c r="E20" s="122">
        <v>0</v>
      </c>
      <c r="F20" s="104">
        <v>0</v>
      </c>
      <c r="G20" s="104">
        <v>0</v>
      </c>
      <c r="H20" s="104">
        <v>0</v>
      </c>
    </row>
    <row r="21" spans="1:8" ht="12.75">
      <c r="A21" s="15">
        <v>17</v>
      </c>
      <c r="B21" s="105">
        <v>8124</v>
      </c>
      <c r="C21" s="106"/>
      <c r="D21" s="138" t="s">
        <v>114</v>
      </c>
      <c r="E21" s="122">
        <v>0</v>
      </c>
      <c r="F21" s="104">
        <v>0</v>
      </c>
      <c r="G21" s="104">
        <v>0</v>
      </c>
      <c r="H21" s="104">
        <v>0</v>
      </c>
    </row>
    <row r="22" spans="1:8" ht="12.75">
      <c r="A22" s="15">
        <v>18</v>
      </c>
      <c r="B22" s="125">
        <v>8124</v>
      </c>
      <c r="C22" s="126"/>
      <c r="D22" s="174" t="s">
        <v>179</v>
      </c>
      <c r="E22" s="183">
        <v>0</v>
      </c>
      <c r="F22" s="128">
        <v>0</v>
      </c>
      <c r="G22" s="207">
        <v>0</v>
      </c>
      <c r="H22" s="207">
        <v>0</v>
      </c>
    </row>
    <row r="23" spans="1:8" ht="12.75">
      <c r="A23" s="74">
        <v>19</v>
      </c>
      <c r="B23" s="7">
        <v>8115</v>
      </c>
      <c r="C23" s="75"/>
      <c r="D23" s="174" t="s">
        <v>186</v>
      </c>
      <c r="E23" s="184">
        <f>-18-286-17-367</f>
        <v>-688</v>
      </c>
      <c r="F23" s="128">
        <f>-18-286-17-367</f>
        <v>-688</v>
      </c>
      <c r="G23" s="207">
        <f>-18-286-17-367</f>
        <v>-688</v>
      </c>
      <c r="H23" s="216">
        <f>-18-286-17-367+20</f>
        <v>-668</v>
      </c>
    </row>
    <row r="24" spans="1:8" ht="12.75">
      <c r="A24" s="74">
        <v>20</v>
      </c>
      <c r="B24" s="7">
        <v>8113</v>
      </c>
      <c r="C24" s="75"/>
      <c r="D24" s="175" t="s">
        <v>230</v>
      </c>
      <c r="E24" s="183">
        <v>0</v>
      </c>
      <c r="F24" s="197">
        <f>60000-3943</f>
        <v>56057</v>
      </c>
      <c r="G24" s="207">
        <v>20000</v>
      </c>
      <c r="H24" s="216">
        <v>42000</v>
      </c>
    </row>
    <row r="25" spans="1:8" ht="13.5" thickBot="1">
      <c r="A25" s="31">
        <v>21</v>
      </c>
      <c r="B25" s="9">
        <v>8123</v>
      </c>
      <c r="C25" s="32"/>
      <c r="D25" s="176" t="s">
        <v>231</v>
      </c>
      <c r="E25" s="185">
        <v>0</v>
      </c>
      <c r="F25" s="205">
        <v>24640</v>
      </c>
      <c r="G25" s="208">
        <v>21000</v>
      </c>
      <c r="H25" s="217">
        <v>23000</v>
      </c>
    </row>
    <row r="26" spans="1:8" ht="13.5" thickBot="1">
      <c r="A26" s="16">
        <v>22</v>
      </c>
      <c r="B26" s="13"/>
      <c r="C26" s="12"/>
      <c r="D26" s="177" t="s">
        <v>70</v>
      </c>
      <c r="E26" s="186">
        <f>SUM(E5:E25)</f>
        <v>20</v>
      </c>
      <c r="F26" s="33">
        <f>SUM(F5:F25)</f>
        <v>80978</v>
      </c>
      <c r="G26" s="33">
        <f>SUM(G5:G25)</f>
        <v>42001</v>
      </c>
      <c r="H26" s="33">
        <f>SUM(H5:H25)</f>
        <v>66361</v>
      </c>
    </row>
    <row r="27" ht="12.75"/>
    <row r="28" ht="13.5" thickBot="1"/>
    <row r="29" spans="4:8" ht="12.75">
      <c r="D29" s="187" t="s">
        <v>56</v>
      </c>
      <c r="E29" s="190">
        <f>'příjmy 2019'!H89</f>
        <v>110269</v>
      </c>
      <c r="F29" s="18">
        <f>'příjmy 2019'!I89</f>
        <v>117697</v>
      </c>
      <c r="G29" s="18">
        <f>'příjmy 2019'!J89</f>
        <v>114474</v>
      </c>
      <c r="H29" s="18">
        <f>'příjmy 2019'!K89</f>
        <v>120833</v>
      </c>
    </row>
    <row r="30" spans="4:8" ht="12.75">
      <c r="D30" s="188" t="s">
        <v>57</v>
      </c>
      <c r="E30" s="191">
        <f>'výdaje 2019'!G88</f>
        <v>234329</v>
      </c>
      <c r="F30" s="19">
        <f>'výdaje 2019'!H88</f>
        <v>240732</v>
      </c>
      <c r="G30" s="19">
        <f>'výdaje 2019'!I88</f>
        <v>187975</v>
      </c>
      <c r="H30" s="19">
        <f>'výdaje 2019'!J88</f>
        <v>231494</v>
      </c>
    </row>
    <row r="31" spans="4:8" ht="12.75">
      <c r="D31" s="188" t="s">
        <v>75</v>
      </c>
      <c r="E31" s="192">
        <f>E29-E30</f>
        <v>-124060</v>
      </c>
      <c r="F31" s="17">
        <f>F29-F30</f>
        <v>-123035</v>
      </c>
      <c r="G31" s="17">
        <f>G29-G30</f>
        <v>-73501</v>
      </c>
      <c r="H31" s="17">
        <f>H29-H30</f>
        <v>-110661</v>
      </c>
    </row>
    <row r="32" spans="4:8" ht="13.5" thickBot="1">
      <c r="D32" s="189" t="s">
        <v>58</v>
      </c>
      <c r="E32" s="193">
        <f>E26</f>
        <v>20</v>
      </c>
      <c r="F32" s="20">
        <f>F26</f>
        <v>80978</v>
      </c>
      <c r="G32" s="20">
        <f>G26</f>
        <v>42001</v>
      </c>
      <c r="H32" s="20">
        <f>H26</f>
        <v>66361</v>
      </c>
    </row>
    <row r="33" ht="12.75"/>
    <row r="34" ht="12.75"/>
    <row r="35" spans="4:8" ht="12.75">
      <c r="D35" s="96" t="s">
        <v>148</v>
      </c>
      <c r="E35">
        <f>E31+E32</f>
        <v>-124040</v>
      </c>
      <c r="F35">
        <f>F31+F32</f>
        <v>-42057</v>
      </c>
      <c r="G35">
        <f>G31+G32</f>
        <v>-31500</v>
      </c>
      <c r="H35">
        <f>H31+H32</f>
        <v>-44300</v>
      </c>
    </row>
    <row r="36" ht="12.75"/>
    <row r="37" ht="12.75"/>
    <row r="38" spans="1:11" s="67" customFormat="1" ht="14.25">
      <c r="A38" s="1"/>
      <c r="B38" s="73"/>
      <c r="D38" s="94" t="s">
        <v>147</v>
      </c>
      <c r="E38" s="158">
        <f>11600+13800</f>
        <v>25400</v>
      </c>
      <c r="F38" s="201">
        <f>11600+13800+1200+1457</f>
        <v>28057</v>
      </c>
      <c r="G38" s="201">
        <v>22500</v>
      </c>
      <c r="H38" s="158">
        <v>32300</v>
      </c>
      <c r="K38" s="97"/>
    </row>
    <row r="39" spans="1:8" s="67" customFormat="1" ht="14.25">
      <c r="A39" s="1"/>
      <c r="B39" s="1"/>
      <c r="D39" s="110" t="s">
        <v>159</v>
      </c>
      <c r="E39" s="118">
        <f>88640+10000</f>
        <v>98640</v>
      </c>
      <c r="F39" s="202">
        <f>88640+10000-60000-24640</f>
        <v>14000</v>
      </c>
      <c r="G39" s="202">
        <v>9000</v>
      </c>
      <c r="H39" s="118">
        <v>12000</v>
      </c>
    </row>
    <row r="40" spans="1:8" s="67" customFormat="1" ht="12.75">
      <c r="A40" s="71"/>
      <c r="B40" s="71"/>
      <c r="C40" s="71"/>
      <c r="D40" s="95" t="s">
        <v>141</v>
      </c>
      <c r="E40" s="92">
        <f>SUM(E35:E39)</f>
        <v>0</v>
      </c>
      <c r="F40" s="92">
        <f>SUM(F35:F39)</f>
        <v>0</v>
      </c>
      <c r="G40" s="92">
        <f>SUM(G35:G39)</f>
        <v>0</v>
      </c>
      <c r="H40" s="92">
        <f>SUM(H35:H39)</f>
        <v>0</v>
      </c>
    </row>
    <row r="41" spans="1:8" s="67" customFormat="1" ht="12.75" customHeight="1">
      <c r="A41" s="69"/>
      <c r="B41" s="85"/>
      <c r="C41" s="86"/>
      <c r="D41" s="90"/>
      <c r="E41" s="72"/>
      <c r="F41" s="72"/>
      <c r="G41" s="72"/>
      <c r="H41" s="72"/>
    </row>
    <row r="42" spans="1:8" s="67" customFormat="1" ht="14.25">
      <c r="A42" s="69" t="s">
        <v>166</v>
      </c>
      <c r="B42" s="87"/>
      <c r="C42" s="86"/>
      <c r="D42" s="86"/>
      <c r="E42" s="72"/>
      <c r="F42" s="72"/>
      <c r="G42" s="72"/>
      <c r="H42" s="72"/>
    </row>
    <row r="43" spans="1:8" s="67" customFormat="1" ht="15" thickBot="1">
      <c r="A43" s="69"/>
      <c r="B43" s="87"/>
      <c r="C43" s="86"/>
      <c r="D43" s="86"/>
      <c r="E43" s="72"/>
      <c r="F43" s="72"/>
      <c r="G43" s="72"/>
      <c r="H43" s="72"/>
    </row>
    <row r="44" spans="1:8" s="67" customFormat="1" ht="15" thickBot="1">
      <c r="A44" s="69"/>
      <c r="B44" s="87"/>
      <c r="C44" s="360" t="s">
        <v>160</v>
      </c>
      <c r="D44" s="361"/>
      <c r="E44" s="117" t="s">
        <v>157</v>
      </c>
      <c r="F44" s="72"/>
      <c r="G44" s="72"/>
      <c r="H44" s="72"/>
    </row>
    <row r="45" spans="1:8" s="67" customFormat="1" ht="14.25">
      <c r="A45" s="69"/>
      <c r="B45" s="87"/>
      <c r="C45" s="198">
        <v>15</v>
      </c>
      <c r="D45" s="112" t="s">
        <v>249</v>
      </c>
      <c r="E45" s="224">
        <v>1500</v>
      </c>
      <c r="F45" s="72"/>
      <c r="G45" s="72"/>
      <c r="H45" s="72"/>
    </row>
    <row r="46" spans="1:8" s="67" customFormat="1" ht="14.25">
      <c r="A46" s="69"/>
      <c r="B46" s="87"/>
      <c r="C46" s="199">
        <v>19</v>
      </c>
      <c r="D46" s="111" t="s">
        <v>225</v>
      </c>
      <c r="E46" s="225">
        <v>5500</v>
      </c>
      <c r="F46" s="72"/>
      <c r="G46" s="72"/>
      <c r="H46" s="72"/>
    </row>
    <row r="47" spans="1:8" s="67" customFormat="1" ht="14.25">
      <c r="A47" s="69"/>
      <c r="B47" s="87"/>
      <c r="C47" s="220">
        <v>44</v>
      </c>
      <c r="D47" s="228" t="s">
        <v>241</v>
      </c>
      <c r="E47" s="225">
        <v>7000</v>
      </c>
      <c r="F47" s="72"/>
      <c r="G47" s="72"/>
      <c r="H47" s="72"/>
    </row>
    <row r="48" spans="1:8" s="67" customFormat="1" ht="14.25">
      <c r="A48" s="69"/>
      <c r="B48" s="87"/>
      <c r="C48" s="220">
        <v>51</v>
      </c>
      <c r="D48" s="228" t="s">
        <v>242</v>
      </c>
      <c r="E48" s="225">
        <v>1000</v>
      </c>
      <c r="F48" s="72"/>
      <c r="G48" s="72"/>
      <c r="H48" s="72"/>
    </row>
    <row r="49" spans="1:8" s="67" customFormat="1" ht="14.25">
      <c r="A49" s="69"/>
      <c r="B49" s="87"/>
      <c r="C49" s="220">
        <v>52</v>
      </c>
      <c r="D49" s="228" t="s">
        <v>246</v>
      </c>
      <c r="E49" s="226">
        <v>1000</v>
      </c>
      <c r="F49" s="72"/>
      <c r="G49" s="72"/>
      <c r="H49" s="72"/>
    </row>
    <row r="50" spans="1:8" s="67" customFormat="1" ht="15" customHeight="1">
      <c r="A50" s="69"/>
      <c r="B50" s="87"/>
      <c r="C50" s="220">
        <v>54</v>
      </c>
      <c r="D50" s="229" t="s">
        <v>252</v>
      </c>
      <c r="E50" s="225">
        <v>6000</v>
      </c>
      <c r="F50" s="72"/>
      <c r="G50" s="72"/>
      <c r="H50" s="72"/>
    </row>
    <row r="51" spans="1:8" s="67" customFormat="1" ht="14.25">
      <c r="A51" s="69"/>
      <c r="B51" s="87"/>
      <c r="C51" s="220">
        <v>58</v>
      </c>
      <c r="D51" s="229" t="s">
        <v>250</v>
      </c>
      <c r="E51" s="226">
        <v>6700</v>
      </c>
      <c r="F51" s="72"/>
      <c r="G51" s="72"/>
      <c r="H51" s="72"/>
    </row>
    <row r="52" spans="1:8" s="67" customFormat="1" ht="14.25">
      <c r="A52" s="69"/>
      <c r="B52" s="87"/>
      <c r="C52" s="243">
        <v>78</v>
      </c>
      <c r="D52" s="244" t="s">
        <v>251</v>
      </c>
      <c r="E52" s="245">
        <v>1600</v>
      </c>
      <c r="F52" s="72"/>
      <c r="G52" s="72"/>
      <c r="H52" s="72"/>
    </row>
    <row r="53" spans="1:8" s="67" customFormat="1" ht="15" thickBot="1">
      <c r="A53" s="69"/>
      <c r="B53" s="87"/>
      <c r="C53" s="221">
        <v>82</v>
      </c>
      <c r="D53" s="230" t="s">
        <v>262</v>
      </c>
      <c r="E53" s="227">
        <v>2000</v>
      </c>
      <c r="F53" s="72"/>
      <c r="G53" s="72"/>
      <c r="H53" s="72"/>
    </row>
    <row r="54" spans="1:8" s="67" customFormat="1" ht="15" thickBot="1">
      <c r="A54" s="69"/>
      <c r="B54" s="87"/>
      <c r="C54" s="353"/>
      <c r="D54" s="355"/>
      <c r="E54" s="222">
        <f>SUM(E45:E53)</f>
        <v>32300</v>
      </c>
      <c r="F54" s="72"/>
      <c r="G54" s="72"/>
      <c r="H54" s="72"/>
    </row>
    <row r="55" spans="1:8" s="67" customFormat="1" ht="14.25">
      <c r="A55" s="69"/>
      <c r="B55" s="87"/>
      <c r="C55" s="86"/>
      <c r="D55" s="86"/>
      <c r="E55" s="72"/>
      <c r="F55" s="72"/>
      <c r="G55" s="72"/>
      <c r="H55" s="72"/>
    </row>
    <row r="56" spans="1:8" s="67" customFormat="1" ht="14.25">
      <c r="A56" s="69"/>
      <c r="B56" s="87"/>
      <c r="C56" s="86"/>
      <c r="D56" s="86"/>
      <c r="E56" s="72"/>
      <c r="F56" s="72"/>
      <c r="G56" s="72"/>
      <c r="H56" s="72"/>
    </row>
    <row r="57" spans="1:8" s="67" customFormat="1" ht="14.25">
      <c r="A57" s="69" t="s">
        <v>216</v>
      </c>
      <c r="B57" s="87"/>
      <c r="C57" s="86"/>
      <c r="D57" s="86"/>
      <c r="E57" s="72"/>
      <c r="F57" s="72"/>
      <c r="G57" s="72"/>
      <c r="H57" s="72"/>
    </row>
    <row r="58" spans="1:8" s="67" customFormat="1" ht="15" thickBot="1">
      <c r="A58" s="70"/>
      <c r="B58" s="88"/>
      <c r="C58" s="72"/>
      <c r="D58" s="89"/>
      <c r="E58" s="72"/>
      <c r="F58" s="72"/>
      <c r="G58" s="72"/>
      <c r="H58" s="72"/>
    </row>
    <row r="59" spans="1:8" s="67" customFormat="1" ht="15.75" customHeight="1">
      <c r="A59" s="70"/>
      <c r="B59" s="362"/>
      <c r="C59" s="198">
        <v>20</v>
      </c>
      <c r="D59" s="112" t="s">
        <v>244</v>
      </c>
      <c r="E59" s="219">
        <v>4000</v>
      </c>
      <c r="F59" s="365" t="s">
        <v>245</v>
      </c>
      <c r="G59" s="366"/>
      <c r="H59" s="367"/>
    </row>
    <row r="60" spans="1:8" s="67" customFormat="1" ht="15.75" customHeight="1">
      <c r="A60" s="70"/>
      <c r="B60" s="363"/>
      <c r="C60" s="199">
        <v>66</v>
      </c>
      <c r="D60" s="111" t="s">
        <v>214</v>
      </c>
      <c r="E60" s="218">
        <v>23000</v>
      </c>
      <c r="F60" s="357" t="s">
        <v>161</v>
      </c>
      <c r="G60" s="358"/>
      <c r="H60" s="359"/>
    </row>
    <row r="61" spans="1:8" s="67" customFormat="1" ht="15.75" customHeight="1">
      <c r="A61" s="70"/>
      <c r="B61" s="363"/>
      <c r="C61" s="199">
        <v>67</v>
      </c>
      <c r="D61" s="111" t="s">
        <v>214</v>
      </c>
      <c r="E61" s="218">
        <v>49000</v>
      </c>
      <c r="F61" s="357" t="s">
        <v>217</v>
      </c>
      <c r="G61" s="358"/>
      <c r="H61" s="359"/>
    </row>
    <row r="62" spans="1:8" s="67" customFormat="1" ht="15.75" customHeight="1">
      <c r="A62" s="70"/>
      <c r="B62" s="363"/>
      <c r="C62" s="199">
        <v>73</v>
      </c>
      <c r="D62" s="206" t="s">
        <v>240</v>
      </c>
      <c r="E62" s="203">
        <v>1000</v>
      </c>
      <c r="F62" s="357" t="s">
        <v>243</v>
      </c>
      <c r="G62" s="358"/>
      <c r="H62" s="359"/>
    </row>
    <row r="63" spans="1:8" s="67" customFormat="1" ht="15.75" customHeight="1" thickBot="1">
      <c r="A63" s="70"/>
      <c r="B63" s="364"/>
      <c r="C63" s="157">
        <v>76</v>
      </c>
      <c r="D63" s="209" t="s">
        <v>215</v>
      </c>
      <c r="E63" s="231">
        <v>0</v>
      </c>
      <c r="F63" s="368" t="s">
        <v>261</v>
      </c>
      <c r="G63" s="369"/>
      <c r="H63" s="370"/>
    </row>
    <row r="64" spans="1:9" s="67" customFormat="1" ht="23.25" customHeight="1" thickBot="1">
      <c r="A64" s="1"/>
      <c r="B64" s="353" t="s">
        <v>158</v>
      </c>
      <c r="C64" s="354"/>
      <c r="D64" s="355"/>
      <c r="E64" s="222">
        <f>SUM(E59:E63)</f>
        <v>77000</v>
      </c>
      <c r="F64" s="350"/>
      <c r="G64" s="351"/>
      <c r="H64" s="352"/>
      <c r="I64" s="109"/>
    </row>
    <row r="65" spans="1:9" s="67" customFormat="1" ht="12" customHeight="1">
      <c r="A65" s="1"/>
      <c r="B65" s="1"/>
      <c r="I65" s="109"/>
    </row>
    <row r="66" spans="1:9" s="67" customFormat="1" ht="12" customHeight="1">
      <c r="A66" s="1"/>
      <c r="B66" s="1"/>
      <c r="I66" s="109"/>
    </row>
    <row r="67" spans="1:9" s="67" customFormat="1" ht="12" customHeight="1">
      <c r="A67" s="1"/>
      <c r="B67" s="1"/>
      <c r="I67" s="109"/>
    </row>
    <row r="68" spans="1:9" s="67" customFormat="1" ht="12" customHeight="1">
      <c r="A68" s="1"/>
      <c r="B68" s="1"/>
      <c r="I68" s="109"/>
    </row>
    <row r="69" spans="1:9" s="67" customFormat="1" ht="12" customHeight="1">
      <c r="A69" s="1"/>
      <c r="B69" s="1"/>
      <c r="I69" s="109"/>
    </row>
    <row r="70" spans="1:9" s="67" customFormat="1" ht="12" customHeight="1">
      <c r="A70" s="1"/>
      <c r="B70" s="1"/>
      <c r="I70" s="109"/>
    </row>
    <row r="71" spans="1:9" s="67" customFormat="1" ht="12" customHeight="1">
      <c r="A71" s="1"/>
      <c r="B71" s="1"/>
      <c r="I71" s="109"/>
    </row>
    <row r="72" spans="1:9" s="67" customFormat="1" ht="12" customHeight="1">
      <c r="A72" s="1"/>
      <c r="B72" s="1"/>
      <c r="F72" s="67" t="s">
        <v>181</v>
      </c>
      <c r="I72" s="109"/>
    </row>
    <row r="73" spans="1:6" s="67" customFormat="1" ht="12.75">
      <c r="A73" s="1"/>
      <c r="B73" s="1"/>
      <c r="F73" s="67" t="s">
        <v>182</v>
      </c>
    </row>
    <row r="74" spans="1:8" s="67" customFormat="1" ht="12.75">
      <c r="A74" s="55"/>
      <c r="B74" s="68"/>
      <c r="C74" s="68"/>
      <c r="D74" s="55" t="s">
        <v>265</v>
      </c>
      <c r="E74" s="68"/>
      <c r="F74" s="68"/>
      <c r="G74" s="68"/>
      <c r="H74" s="68"/>
    </row>
    <row r="75" spans="1:8" ht="12.75">
      <c r="A75" s="349"/>
      <c r="B75" s="349"/>
      <c r="C75" s="349"/>
      <c r="D75" s="349"/>
      <c r="E75" s="349"/>
      <c r="F75" s="349"/>
      <c r="G75" s="349"/>
      <c r="H75" s="349"/>
    </row>
    <row r="76" spans="1:8" ht="12.75">
      <c r="A76" s="349"/>
      <c r="B76" s="349"/>
      <c r="C76" s="349"/>
      <c r="D76" s="349"/>
      <c r="E76" s="349"/>
      <c r="F76" s="349"/>
      <c r="G76" s="349"/>
      <c r="H76" s="349"/>
    </row>
    <row r="77" ht="12.75">
      <c r="D77" s="38"/>
    </row>
    <row r="80" spans="1:8" ht="12.75">
      <c r="A80" s="349" t="s">
        <v>122</v>
      </c>
      <c r="B80" s="349"/>
      <c r="C80" s="349"/>
      <c r="D80" s="349"/>
      <c r="E80" s="349"/>
      <c r="F80" s="349"/>
      <c r="G80" s="349"/>
      <c r="H80" s="349"/>
    </row>
  </sheetData>
  <mergeCells count="15">
    <mergeCell ref="A2:D2"/>
    <mergeCell ref="E3:H3"/>
    <mergeCell ref="F60:H60"/>
    <mergeCell ref="C54:D54"/>
    <mergeCell ref="C44:D44"/>
    <mergeCell ref="B59:B63"/>
    <mergeCell ref="F59:H59"/>
    <mergeCell ref="F61:H61"/>
    <mergeCell ref="F62:H62"/>
    <mergeCell ref="F63:H63"/>
    <mergeCell ref="A80:H80"/>
    <mergeCell ref="A76:H76"/>
    <mergeCell ref="A75:H75"/>
    <mergeCell ref="F64:H64"/>
    <mergeCell ref="B64:D64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2019-02-05T08:33:13Z</cp:lastPrinted>
  <dcterms:created xsi:type="dcterms:W3CDTF">2003-01-03T12:32:00Z</dcterms:created>
  <dcterms:modified xsi:type="dcterms:W3CDTF">2019-02-05T08:33:31Z</dcterms:modified>
  <cp:category/>
  <cp:version/>
  <cp:contentType/>
  <cp:contentStatus/>
</cp:coreProperties>
</file>