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1"/>
  </bookViews>
  <sheets>
    <sheet name="List1" sheetId="1" r:id="rId1"/>
    <sheet name="příjmy 2016" sheetId="2" r:id="rId2"/>
    <sheet name="výdaje 2016" sheetId="3" r:id="rId3"/>
    <sheet name="financování 2016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<sst xmlns="http://schemas.openxmlformats.org/spreadsheetml/2006/main" count="283" uniqueCount="252">
  <si>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</si>
  <si>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</si>
  <si>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</si>
  <si>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</si>
  <si>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</si>
  <si>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</si>
  <si>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</si>
  <si>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</si>
  <si>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</si>
  <si>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</si>
  <si>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</si>
  <si>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</si>
  <si>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</si>
  <si>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</si>
  <si>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</si>
  <si>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</si>
  <si>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</si>
  <si>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</si>
  <si>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</si>
  <si>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</si>
  <si>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</si>
  <si>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</si>
  <si>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</si>
  <si>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</si>
  <si>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</si>
  <si>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</si>
  <si>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</si>
  <si>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</si>
  <si>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</si>
  <si>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</si>
  <si>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</si>
  <si>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</si>
  <si>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</si>
  <si>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</si>
  <si>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</si>
  <si>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</si>
  <si>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</si>
  <si>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</si>
  <si>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</si>
  <si>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</si>
  <si>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</si>
  <si>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</si>
  <si>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</si>
  <si>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</si>
  <si>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</si>
  <si>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</si>
  <si>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</si>
  <si>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</si>
  <si>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</si>
  <si>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</si>
  <si>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</si>
  <si>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</si>
  <si>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</si>
  <si>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</si>
  <si>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</si>
  <si>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</si>
  <si>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</si>
  <si>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</si>
  <si>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</si>
  <si>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</si>
  <si>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</si>
  <si>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</si>
  <si>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</si>
  <si>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</si>
  <si>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</si>
  <si>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</si>
  <si>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</si>
  <si>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</si>
  <si>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</si>
  <si>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</si>
  <si>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</si>
  <si>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</si>
  <si>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</si>
  <si>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</si>
  <si>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</si>
  <si>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</si>
  <si>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</si>
  <si>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</si>
  <si>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</si>
  <si>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</si>
  <si>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</si>
  <si>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</si>
  <si>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</si>
  <si>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</si>
  <si>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</si>
  <si>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</si>
  <si>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</si>
  <si>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</si>
  <si>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</si>
  <si>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prodej družstevních podílů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</si>
  <si>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</si>
  <si>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</si>
  <si>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</si>
  <si>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</si>
  <si>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</si>
  <si>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</si>
  <si>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</si>
  <si>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</si>
  <si>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</si>
  <si>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</si>
  <si>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</si>
  <si>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přijaté úroky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</si>
  <si>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</si>
  <si>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</si>
  <si>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</si>
  <si>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</si>
  <si>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</si>
  <si>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</si>
  <si>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</si>
  <si>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</si>
  <si>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</si>
  <si>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</si>
  <si>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</si>
  <si>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</si>
  <si>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</si>
  <si>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</si>
  <si>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</si>
  <si>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</si>
  <si>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</si>
  <si>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</si>
  <si>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</si>
  <si>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</si>
  <si>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</si>
  <si>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</si>
  <si>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</si>
  <si>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</si>
  <si>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</si>
  <si>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</si>
  <si>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</si>
  <si>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</si>
  <si>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</si>
  <si>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</si>
  <si>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</si>
  <si>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</si>
  <si>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</si>
  <si>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</si>
  <si>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</si>
  <si>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</si>
  <si>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</si>
  <si>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</si>
  <si>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</si>
  <si>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</si>
  <si>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</si>
  <si>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</si>
  <si>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</si>
  <si>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</si>
  <si>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</si>
  <si>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</si>
  <si>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</si>
  <si>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</si>
  <si>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</si>
  <si>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</si>
  <si>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</si>
  <si>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</si>
  <si>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</si>
  <si>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</si>
  <si>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</si>
  <si>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</si>
  <si>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</si>
  <si>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</si>
  <si>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</si>
  <si>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RUD</t>
  </si>
  <si>
    <t>rozdíl saldo - financování</t>
  </si>
  <si>
    <t>schválený rozpočet 2015</t>
  </si>
  <si>
    <t>schválený  rozpočet 2015</t>
  </si>
  <si>
    <t>UZ 90877</t>
  </si>
  <si>
    <t>dotace SFŽP - zateplení MŠ Luční</t>
  </si>
  <si>
    <t>dotace FS OPŽP - zateplení MŠ Luční</t>
  </si>
  <si>
    <t>UZ 15835</t>
  </si>
  <si>
    <t>dotace MŽP - ošetření stromu za muzeem</t>
  </si>
  <si>
    <t>6171, 6320</t>
  </si>
  <si>
    <t>dotace KÚLK - zvyšování kvality ve vzděl.</t>
  </si>
  <si>
    <t>0328 Bílokostelecká 50</t>
  </si>
  <si>
    <t>vrácení finančních prostředků z Fondu solidarity EU</t>
  </si>
  <si>
    <t>2310, 21</t>
  </si>
  <si>
    <t>prodej drobného dlouhodobého majetku</t>
  </si>
  <si>
    <t>UZ 15832</t>
  </si>
  <si>
    <t>dotace MŽP - zametací vůz</t>
  </si>
  <si>
    <t>celkové náklady</t>
  </si>
  <si>
    <t>možno vzít úvěr 40 mil. Kč</t>
  </si>
  <si>
    <t>Projekt "Rekonstrukce kina"</t>
  </si>
  <si>
    <t>Projekt "Oprava a přístavba hasičského muzea"</t>
  </si>
  <si>
    <t>Projekt "modernizace a dostavba areálu ZŠ Chrastava - Školní"</t>
  </si>
  <si>
    <t xml:space="preserve">Projekt "Sběrný dvůr Chrastava" </t>
  </si>
  <si>
    <t>Projekt "Sportovní hřiště u ZŠ a MŠ Vítkov"</t>
  </si>
  <si>
    <t>Projekt "Cyklostezka s kolem kolem Jizerek"</t>
  </si>
  <si>
    <t>Projekt "Sociální byty - azylový dům" - PD</t>
  </si>
  <si>
    <t>CELKEM</t>
  </si>
  <si>
    <t>úvěr</t>
  </si>
  <si>
    <t>fond kotelen (PS 0+1350-1000)</t>
  </si>
  <si>
    <t>chodníky Liberecká</t>
  </si>
  <si>
    <t>vl. podíl dotace SFDI</t>
  </si>
  <si>
    <t>chodníky Andělohorská</t>
  </si>
  <si>
    <t>název projektu</t>
  </si>
  <si>
    <t>2) položky IP, které budou financovány schváleným úvěrem 40 mil. Kč.</t>
  </si>
  <si>
    <t>investiční dotace TJ SPARTAK Chrastava - hala</t>
  </si>
  <si>
    <t>vl. podíl dotace OPPS CZ-PL</t>
  </si>
  <si>
    <t>vl. podíl dotace IPRÚ</t>
  </si>
  <si>
    <t>vl. podíl dotace OPŽP</t>
  </si>
  <si>
    <t>investiční úvěr ČS - sloučení všech úvěrů Sberbank</t>
  </si>
  <si>
    <t>technická správa</t>
  </si>
  <si>
    <t>fond oprav obecních bytů (PS 288+2000-1500)</t>
  </si>
  <si>
    <t>0321 obřadní síň</t>
  </si>
  <si>
    <t>0322 Chrastavské slavnosti</t>
  </si>
  <si>
    <t>1) položky IP, které budou financovány z FVI - RUD,</t>
  </si>
  <si>
    <t>komunikace k Benteleru SO 105 - splátka I. Etapa</t>
  </si>
  <si>
    <t>rekonstrukce komunikace hřbitov - Liberecká ul.</t>
  </si>
  <si>
    <t>oprava ulice Liberecké - spoluúčast na akci LK</t>
  </si>
  <si>
    <t>2310, 2133</t>
  </si>
  <si>
    <t>2119,2329,2132</t>
  </si>
  <si>
    <t>2341, 3639</t>
  </si>
  <si>
    <t>3722-9</t>
  </si>
  <si>
    <t>navýšení RUD 2016 proti 2012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</si>
  <si>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</si>
  <si>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</si>
  <si>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</si>
  <si>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</si>
  <si>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</si>
  <si>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</si>
  <si>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</si>
  <si>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</si>
  <si>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</si>
  <si>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schválený rozpočet 2016</t>
  </si>
  <si>
    <t>dotace KÚLK - Pedagogická asistence</t>
  </si>
  <si>
    <t>Fond mikroprojektů - předfinancování</t>
  </si>
  <si>
    <t>Ing. Michael Canov</t>
  </si>
  <si>
    <t xml:space="preserve">         starosta</t>
  </si>
  <si>
    <t>dotace KÚLK - Potravin. pomoc dětem v LK</t>
  </si>
  <si>
    <t>3313-15,92</t>
  </si>
  <si>
    <t>2321, 2341, 3341, 3721, 3722, 3745</t>
  </si>
  <si>
    <t>Spartak Chrastava - podpora odd. kopané v divizní soutěži</t>
  </si>
  <si>
    <t>dotace KÚLK - hasiči - nové auto Mercedes</t>
  </si>
  <si>
    <t>UZ 113014</t>
  </si>
  <si>
    <t>fond veřejného osvětlení</t>
  </si>
  <si>
    <t>veřejné osvětlení</t>
  </si>
  <si>
    <t>částečné čerpání 40 mil. úvěru Česká spořitelna</t>
  </si>
  <si>
    <t xml:space="preserve">FVI - RUD (PS 11358+13000-1260+1500) </t>
  </si>
  <si>
    <t>5. změna rozpočtu 2016</t>
  </si>
  <si>
    <t>dotace KÚLK - přístavba požární zbrojnice</t>
  </si>
  <si>
    <t>dotace KÚLK - PD most přes Lužickou Nisu</t>
  </si>
  <si>
    <t>dotace MV - hasiči - nové auto Mercedes</t>
  </si>
  <si>
    <t>dary - Obl. Ch. + Hospic sv. Zd. + Římskokatolická farnost</t>
  </si>
  <si>
    <t>UZ 98193</t>
  </si>
  <si>
    <t>dotace na volby do zastupitelstev krajů</t>
  </si>
  <si>
    <t>volby do zastupitelstev krajů</t>
  </si>
  <si>
    <t>Příjmy - 6. změna rozpočtu 2016 - rozpočtové opatření</t>
  </si>
  <si>
    <t>ZM 12.12.2016</t>
  </si>
  <si>
    <t>6. změna rozpočtu 2016</t>
  </si>
  <si>
    <t>Výdaje - 6. změna rozpočtu 2016 - rozpočtové opatření</t>
  </si>
  <si>
    <t>Financování - 6. změna rozpočtu 2016 - rozpočtové opatření</t>
  </si>
  <si>
    <t>dotace KÚLK - EDUCA</t>
  </si>
  <si>
    <t>předkládá: HFO 13.12.2016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</si>
</sst>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0" xfId="0" applyFont="1" applyBorder="1" applyAlignment="1">
      <alignment/>
    </xf>
    <xf numFmtId="0" fontId="12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Border="1" applyAlignment="1">
      <alignment/>
    </xf>
    <xf numFmtId="0" fontId="17" fillId="0" borderId="9" xfId="0" applyFont="1" applyFill="1" applyBorder="1" applyAlignment="1">
      <alignment vertical="center"/>
    </xf>
    <xf numFmtId="0" fontId="17" fillId="0" borderId="18" xfId="0" applyFont="1" applyBorder="1" applyAlignment="1">
      <alignment/>
    </xf>
    <xf numFmtId="0" fontId="17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17" fillId="6" borderId="9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1" fontId="16" fillId="0" borderId="42" xfId="0" applyNumberFormat="1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9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40" xfId="0" applyBorder="1" applyAlignment="1">
      <alignment/>
    </xf>
    <xf numFmtId="0" fontId="0" fillId="0" borderId="45" xfId="0" applyFont="1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6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8" xfId="0" applyBorder="1" applyAlignment="1">
      <alignment horizontal="right"/>
    </xf>
    <xf numFmtId="0" fontId="17" fillId="0" borderId="4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7" xfId="0" applyFont="1" applyFill="1" applyBorder="1" applyAlignment="1">
      <alignment horizontal="right"/>
    </xf>
    <xf numFmtId="0" fontId="17" fillId="0" borderId="38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" fillId="2" borderId="4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54" xfId="0" applyFont="1" applyFill="1" applyBorder="1" applyAlignment="1">
      <alignment textRotation="90"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46" xfId="0" applyFont="1" applyFill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8" xfId="0" applyBorder="1" applyAlignment="1">
      <alignment/>
    </xf>
    <xf numFmtId="0" fontId="12" fillId="0" borderId="47" xfId="0" applyFont="1" applyBorder="1" applyAlignment="1">
      <alignment/>
    </xf>
    <xf numFmtId="0" fontId="12" fillId="0" borderId="38" xfId="0" applyFont="1" applyBorder="1" applyAlignment="1">
      <alignment/>
    </xf>
    <xf numFmtId="0" fontId="17" fillId="0" borderId="44" xfId="0" applyFont="1" applyFill="1" applyBorder="1" applyAlignment="1">
      <alignment horizontal="right" vertical="center"/>
    </xf>
    <xf numFmtId="0" fontId="1" fillId="0" borderId="4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44" xfId="0" applyFont="1" applyFill="1" applyBorder="1" applyAlignment="1">
      <alignment horizontal="center" vertical="center" textRotation="90"/>
    </xf>
    <xf numFmtId="0" fontId="20" fillId="0" borderId="47" xfId="0" applyFont="1" applyFill="1" applyBorder="1" applyAlignment="1">
      <alignment horizontal="center" vertical="center" textRotation="90"/>
    </xf>
    <xf numFmtId="0" fontId="20" fillId="0" borderId="25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="75" zoomScaleNormal="75" workbookViewId="0" topLeftCell="D1">
      <pane xSplit="4" ySplit="3" topLeftCell="H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D91" sqref="D91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14.00390625" style="1" bestFit="1" customWidth="1"/>
    <col min="6" max="6" width="10.625" style="1" customWidth="1"/>
    <col min="7" max="7" width="41.75390625" style="0" customWidth="1"/>
    <col min="8" max="8" width="16.625" style="0" customWidth="1"/>
    <col min="9" max="10" width="17.375" style="0" customWidth="1"/>
    <col min="11" max="11" width="17.625" style="0" customWidth="1"/>
  </cols>
  <sheetData>
    <row r="1" spans="1:7" ht="12.75">
      <c r="A1" s="35"/>
      <c r="B1" s="17"/>
      <c r="C1" s="17"/>
      <c r="D1" s="36"/>
      <c r="E1" s="37"/>
      <c r="G1" s="111"/>
    </row>
    <row r="2" spans="1:11" ht="16.5" thickBot="1">
      <c r="A2" s="224" t="s">
        <v>245</v>
      </c>
      <c r="B2" s="221"/>
      <c r="C2" s="221"/>
      <c r="D2" s="221"/>
      <c r="E2" s="221"/>
      <c r="F2" s="221"/>
      <c r="G2" s="222"/>
      <c r="H2" s="249" t="s">
        <v>246</v>
      </c>
      <c r="I2" s="249"/>
      <c r="J2" s="249"/>
      <c r="K2" s="249"/>
    </row>
    <row r="3" spans="1:11" ht="53.25" customHeight="1" thickBot="1">
      <c r="A3" s="62"/>
      <c r="B3" s="18"/>
      <c r="C3" s="112"/>
      <c r="D3" s="114" t="s">
        <v>28</v>
      </c>
      <c r="E3" s="20" t="s">
        <v>1</v>
      </c>
      <c r="F3" s="20" t="s">
        <v>0</v>
      </c>
      <c r="G3" s="20" t="s">
        <v>2</v>
      </c>
      <c r="H3" s="77" t="s">
        <v>163</v>
      </c>
      <c r="I3" s="77" t="s">
        <v>222</v>
      </c>
      <c r="J3" s="77" t="s">
        <v>237</v>
      </c>
      <c r="K3" s="77" t="s">
        <v>247</v>
      </c>
    </row>
    <row r="4" spans="1:11" ht="14.25" customHeight="1">
      <c r="A4" s="243" t="s">
        <v>37</v>
      </c>
      <c r="B4" s="228" t="s">
        <v>36</v>
      </c>
      <c r="C4" s="235" t="s">
        <v>34</v>
      </c>
      <c r="D4" s="115">
        <v>1</v>
      </c>
      <c r="E4" s="58">
        <v>1111</v>
      </c>
      <c r="F4" s="58"/>
      <c r="G4" s="61" t="s">
        <v>32</v>
      </c>
      <c r="H4" s="180">
        <f>14000-4000</f>
        <v>10000</v>
      </c>
      <c r="I4" s="198">
        <f>14000-4000</f>
        <v>10000</v>
      </c>
      <c r="J4" s="198">
        <f>14000-4000</f>
        <v>10000</v>
      </c>
      <c r="K4" s="198">
        <f>14000-4000</f>
        <v>10000</v>
      </c>
    </row>
    <row r="5" spans="1:11" ht="12.75">
      <c r="A5" s="244"/>
      <c r="B5" s="229"/>
      <c r="C5" s="231"/>
      <c r="D5" s="116">
        <v>2</v>
      </c>
      <c r="E5" s="11">
        <v>1112</v>
      </c>
      <c r="F5" s="11"/>
      <c r="G5" s="2" t="s">
        <v>33</v>
      </c>
      <c r="H5" s="41">
        <v>500</v>
      </c>
      <c r="I5" s="151">
        <v>500</v>
      </c>
      <c r="J5" s="151">
        <v>500</v>
      </c>
      <c r="K5" s="151">
        <v>500</v>
      </c>
    </row>
    <row r="6" spans="1:11" ht="12.75">
      <c r="A6" s="244"/>
      <c r="B6" s="229"/>
      <c r="C6" s="231"/>
      <c r="D6" s="116">
        <v>3</v>
      </c>
      <c r="E6" s="11">
        <v>1113</v>
      </c>
      <c r="F6" s="11"/>
      <c r="G6" s="2" t="s">
        <v>63</v>
      </c>
      <c r="H6" s="41">
        <f>1500-500</f>
        <v>1000</v>
      </c>
      <c r="I6" s="151">
        <f>1500-500</f>
        <v>1000</v>
      </c>
      <c r="J6" s="151">
        <f>1500-500</f>
        <v>1000</v>
      </c>
      <c r="K6" s="151">
        <f>1500-500</f>
        <v>1000</v>
      </c>
    </row>
    <row r="7" spans="1:11" ht="12.75">
      <c r="A7" s="244"/>
      <c r="B7" s="229"/>
      <c r="C7" s="231"/>
      <c r="D7" s="116">
        <v>4</v>
      </c>
      <c r="E7" s="11">
        <v>1211</v>
      </c>
      <c r="F7" s="11"/>
      <c r="G7" s="2" t="s">
        <v>3</v>
      </c>
      <c r="H7" s="41">
        <f>29000-7500</f>
        <v>21500</v>
      </c>
      <c r="I7" s="151">
        <f>29000-7500</f>
        <v>21500</v>
      </c>
      <c r="J7" s="151">
        <f>29000-7500</f>
        <v>21500</v>
      </c>
      <c r="K7" s="151">
        <f>29000-7500</f>
        <v>21500</v>
      </c>
    </row>
    <row r="8" spans="1:11" ht="12.75">
      <c r="A8" s="244"/>
      <c r="B8" s="229"/>
      <c r="C8" s="231"/>
      <c r="D8" s="116">
        <v>5</v>
      </c>
      <c r="E8" s="11">
        <v>1121</v>
      </c>
      <c r="F8" s="11"/>
      <c r="G8" s="2" t="s">
        <v>4</v>
      </c>
      <c r="H8" s="41">
        <f>15000-5000</f>
        <v>10000</v>
      </c>
      <c r="I8" s="151">
        <f>15000-5000</f>
        <v>10000</v>
      </c>
      <c r="J8" s="151">
        <f>15000-5000</f>
        <v>10000</v>
      </c>
      <c r="K8" s="151">
        <f>15000-5000</f>
        <v>10000</v>
      </c>
    </row>
    <row r="9" spans="1:11" ht="12.75">
      <c r="A9" s="244"/>
      <c r="B9" s="229"/>
      <c r="C9" s="231"/>
      <c r="D9" s="116">
        <v>6</v>
      </c>
      <c r="E9" s="76" t="s">
        <v>140</v>
      </c>
      <c r="F9" s="11"/>
      <c r="G9" s="2" t="s">
        <v>212</v>
      </c>
      <c r="H9" s="108">
        <f>4000+500+7500+5000-4000+2500</f>
        <v>15500</v>
      </c>
      <c r="I9" s="151">
        <v>13000</v>
      </c>
      <c r="J9" s="151">
        <f>13000+1500</f>
        <v>14500</v>
      </c>
      <c r="K9" s="151">
        <f>13000+1500</f>
        <v>14500</v>
      </c>
    </row>
    <row r="10" spans="1:11" ht="12.75">
      <c r="A10" s="244"/>
      <c r="B10" s="229"/>
      <c r="C10" s="231"/>
      <c r="D10" s="116">
        <v>7</v>
      </c>
      <c r="E10" s="11">
        <v>1122</v>
      </c>
      <c r="F10" s="11"/>
      <c r="G10" s="5" t="s">
        <v>5</v>
      </c>
      <c r="H10" s="41">
        <v>2000</v>
      </c>
      <c r="I10" s="151">
        <v>2000</v>
      </c>
      <c r="J10" s="151">
        <f>2000-409</f>
        <v>1591</v>
      </c>
      <c r="K10" s="151">
        <f>2000-409</f>
        <v>1591</v>
      </c>
    </row>
    <row r="11" spans="1:11" ht="12.75">
      <c r="A11" s="244"/>
      <c r="B11" s="229"/>
      <c r="C11" s="231"/>
      <c r="D11" s="116">
        <v>8</v>
      </c>
      <c r="E11" s="76" t="s">
        <v>112</v>
      </c>
      <c r="F11" s="11"/>
      <c r="G11" s="2" t="s">
        <v>95</v>
      </c>
      <c r="H11" s="41">
        <v>4</v>
      </c>
      <c r="I11" s="151">
        <v>4</v>
      </c>
      <c r="J11" s="151">
        <v>4</v>
      </c>
      <c r="K11" s="151">
        <v>4</v>
      </c>
    </row>
    <row r="12" spans="1:11" ht="12.75">
      <c r="A12" s="244"/>
      <c r="B12" s="229"/>
      <c r="C12" s="231"/>
      <c r="D12" s="116">
        <v>9</v>
      </c>
      <c r="E12" s="11">
        <v>1340</v>
      </c>
      <c r="F12" s="11"/>
      <c r="G12" s="2" t="s">
        <v>6</v>
      </c>
      <c r="H12" s="41">
        <v>3200</v>
      </c>
      <c r="I12" s="151">
        <v>3200</v>
      </c>
      <c r="J12" s="151">
        <v>3200</v>
      </c>
      <c r="K12" s="151">
        <v>3200</v>
      </c>
    </row>
    <row r="13" spans="1:11" ht="12.75">
      <c r="A13" s="244"/>
      <c r="B13" s="229"/>
      <c r="C13" s="231"/>
      <c r="D13" s="116">
        <v>10</v>
      </c>
      <c r="E13" s="11">
        <v>1341</v>
      </c>
      <c r="F13" s="11"/>
      <c r="G13" s="2" t="s">
        <v>7</v>
      </c>
      <c r="H13" s="41">
        <v>240</v>
      </c>
      <c r="I13" s="151">
        <v>240</v>
      </c>
      <c r="J13" s="151">
        <v>240</v>
      </c>
      <c r="K13" s="151">
        <v>240</v>
      </c>
    </row>
    <row r="14" spans="1:11" ht="12.75" customHeight="1">
      <c r="A14" s="244"/>
      <c r="B14" s="229"/>
      <c r="C14" s="231"/>
      <c r="D14" s="116">
        <v>11</v>
      </c>
      <c r="E14" s="11">
        <v>1343</v>
      </c>
      <c r="F14" s="11"/>
      <c r="G14" s="2" t="s">
        <v>8</v>
      </c>
      <c r="H14" s="41">
        <v>30</v>
      </c>
      <c r="I14" s="151">
        <v>10</v>
      </c>
      <c r="J14" s="151">
        <v>10</v>
      </c>
      <c r="K14" s="151">
        <v>10</v>
      </c>
    </row>
    <row r="15" spans="1:11" ht="12.75">
      <c r="A15" s="244"/>
      <c r="B15" s="229"/>
      <c r="C15" s="231"/>
      <c r="D15" s="116">
        <v>12</v>
      </c>
      <c r="E15" s="11">
        <v>1344</v>
      </c>
      <c r="F15" s="11"/>
      <c r="G15" s="2" t="s">
        <v>9</v>
      </c>
      <c r="H15" s="41">
        <v>5</v>
      </c>
      <c r="I15" s="151">
        <v>5</v>
      </c>
      <c r="J15" s="151">
        <v>5</v>
      </c>
      <c r="K15" s="151">
        <v>5</v>
      </c>
    </row>
    <row r="16" spans="1:11" ht="12.75">
      <c r="A16" s="244"/>
      <c r="B16" s="229"/>
      <c r="C16" s="231"/>
      <c r="D16" s="116">
        <v>13</v>
      </c>
      <c r="E16" s="11">
        <v>1345</v>
      </c>
      <c r="F16" s="11"/>
      <c r="G16" s="2" t="s">
        <v>94</v>
      </c>
      <c r="H16" s="41">
        <v>50</v>
      </c>
      <c r="I16" s="151">
        <v>40</v>
      </c>
      <c r="J16" s="151">
        <v>40</v>
      </c>
      <c r="K16" s="151">
        <v>40</v>
      </c>
    </row>
    <row r="17" spans="1:11" ht="12.75">
      <c r="A17" s="244"/>
      <c r="B17" s="229"/>
      <c r="C17" s="231"/>
      <c r="D17" s="116">
        <v>14</v>
      </c>
      <c r="E17" s="11">
        <v>1355</v>
      </c>
      <c r="F17" s="11"/>
      <c r="G17" s="2" t="s">
        <v>136</v>
      </c>
      <c r="H17" s="41">
        <f>1400+400</f>
        <v>1800</v>
      </c>
      <c r="I17" s="151">
        <f>1800</f>
        <v>1800</v>
      </c>
      <c r="J17" s="149">
        <f>1800+426</f>
        <v>2226</v>
      </c>
      <c r="K17" s="149">
        <f>1800+426+608</f>
        <v>2834</v>
      </c>
    </row>
    <row r="18" spans="1:13" ht="12.75">
      <c r="A18" s="244"/>
      <c r="B18" s="229"/>
      <c r="C18" s="231"/>
      <c r="D18" s="116">
        <v>15</v>
      </c>
      <c r="E18" s="11">
        <v>1351</v>
      </c>
      <c r="F18" s="11"/>
      <c r="G18" s="2" t="s">
        <v>133</v>
      </c>
      <c r="H18" s="41">
        <v>200</v>
      </c>
      <c r="I18" s="151">
        <v>200</v>
      </c>
      <c r="J18" s="149">
        <f>200+39</f>
        <v>239</v>
      </c>
      <c r="K18" s="149">
        <f>200+39+80</f>
        <v>319</v>
      </c>
      <c r="L18" s="214"/>
      <c r="M18" s="215"/>
    </row>
    <row r="19" spans="1:11" ht="12.75">
      <c r="A19" s="244"/>
      <c r="B19" s="229"/>
      <c r="C19" s="231"/>
      <c r="D19" s="116">
        <v>16</v>
      </c>
      <c r="E19" s="11">
        <v>1361</v>
      </c>
      <c r="F19" s="11"/>
      <c r="G19" s="2" t="s">
        <v>127</v>
      </c>
      <c r="H19" s="41">
        <v>500</v>
      </c>
      <c r="I19" s="151">
        <v>500</v>
      </c>
      <c r="J19" s="151">
        <v>500</v>
      </c>
      <c r="K19" s="151">
        <v>500</v>
      </c>
    </row>
    <row r="20" spans="1:11" ht="12.75">
      <c r="A20" s="244"/>
      <c r="B20" s="229"/>
      <c r="C20" s="231"/>
      <c r="D20" s="116">
        <v>17</v>
      </c>
      <c r="E20" s="11">
        <v>1511</v>
      </c>
      <c r="F20" s="11"/>
      <c r="G20" s="4" t="s">
        <v>10</v>
      </c>
      <c r="H20" s="41">
        <v>8150</v>
      </c>
      <c r="I20" s="151">
        <f>8150</f>
        <v>8150</v>
      </c>
      <c r="J20" s="151">
        <f>8150</f>
        <v>8150</v>
      </c>
      <c r="K20" s="151">
        <f>8150</f>
        <v>8150</v>
      </c>
    </row>
    <row r="21" spans="1:11" ht="12.75">
      <c r="A21" s="244"/>
      <c r="B21" s="229"/>
      <c r="C21" s="231"/>
      <c r="D21" s="116">
        <v>18</v>
      </c>
      <c r="E21" s="11"/>
      <c r="F21" s="11"/>
      <c r="G21" s="3" t="s">
        <v>29</v>
      </c>
      <c r="H21" s="49">
        <f>SUM(H4:H20)</f>
        <v>74679</v>
      </c>
      <c r="I21" s="49">
        <f>SUM(I4:I20)</f>
        <v>72149</v>
      </c>
      <c r="J21" s="49">
        <f>SUM(J4:J20)</f>
        <v>73705</v>
      </c>
      <c r="K21" s="49">
        <f>SUM(K4:K20)</f>
        <v>74393</v>
      </c>
    </row>
    <row r="22" spans="1:12" ht="12.75">
      <c r="A22" s="244"/>
      <c r="B22" s="229"/>
      <c r="C22" s="230" t="s">
        <v>35</v>
      </c>
      <c r="D22" s="116">
        <v>19</v>
      </c>
      <c r="E22" s="11"/>
      <c r="F22" s="11">
        <v>1032</v>
      </c>
      <c r="G22" s="4" t="s">
        <v>116</v>
      </c>
      <c r="H22" s="41">
        <v>600</v>
      </c>
      <c r="I22" s="41">
        <v>600</v>
      </c>
      <c r="J22" s="41">
        <v>600</v>
      </c>
      <c r="K22" s="149">
        <f>600+489</f>
        <v>1089</v>
      </c>
      <c r="L22" s="147"/>
    </row>
    <row r="23" spans="1:11" ht="12.75">
      <c r="A23" s="244"/>
      <c r="B23" s="229"/>
      <c r="C23" s="231"/>
      <c r="D23" s="116">
        <v>20</v>
      </c>
      <c r="E23" s="11"/>
      <c r="F23" s="11"/>
      <c r="G23" s="25" t="s">
        <v>64</v>
      </c>
      <c r="H23" s="50">
        <f>SUM(H22)</f>
        <v>600</v>
      </c>
      <c r="I23" s="50">
        <f>SUM(I22)</f>
        <v>600</v>
      </c>
      <c r="J23" s="50">
        <f>SUM(J22)</f>
        <v>600</v>
      </c>
      <c r="K23" s="50">
        <f>SUM(K22)</f>
        <v>1089</v>
      </c>
    </row>
    <row r="24" spans="1:11" ht="12.75">
      <c r="A24" s="244"/>
      <c r="B24" s="229"/>
      <c r="C24" s="231"/>
      <c r="D24" s="116">
        <v>21</v>
      </c>
      <c r="E24" s="11">
        <v>2122</v>
      </c>
      <c r="F24" s="11" t="s">
        <v>41</v>
      </c>
      <c r="G24" s="78" t="s">
        <v>128</v>
      </c>
      <c r="H24" s="41">
        <v>1630</v>
      </c>
      <c r="I24" s="151">
        <v>1737</v>
      </c>
      <c r="J24" s="151">
        <v>1737</v>
      </c>
      <c r="K24" s="149">
        <f>1737+166</f>
        <v>1903</v>
      </c>
    </row>
    <row r="25" spans="1:11" ht="12.75">
      <c r="A25" s="244"/>
      <c r="B25" s="229"/>
      <c r="C25" s="231"/>
      <c r="D25" s="116">
        <v>22</v>
      </c>
      <c r="E25" s="9">
        <v>2132</v>
      </c>
      <c r="F25" s="11">
        <v>3113.9</v>
      </c>
      <c r="G25" s="2" t="s">
        <v>91</v>
      </c>
      <c r="H25" s="41">
        <v>0</v>
      </c>
      <c r="I25" s="41">
        <v>0</v>
      </c>
      <c r="J25" s="41">
        <v>0</v>
      </c>
      <c r="K25" s="41">
        <v>0</v>
      </c>
    </row>
    <row r="26" spans="1:11" ht="12.75">
      <c r="A26" s="244"/>
      <c r="B26" s="229"/>
      <c r="C26" s="231"/>
      <c r="D26" s="116">
        <v>23</v>
      </c>
      <c r="E26" s="9"/>
      <c r="F26" s="11"/>
      <c r="G26" s="2"/>
      <c r="H26" s="41"/>
      <c r="I26" s="41"/>
      <c r="J26" s="41"/>
      <c r="K26" s="41"/>
    </row>
    <row r="27" spans="1:11" ht="12.75">
      <c r="A27" s="244"/>
      <c r="B27" s="229"/>
      <c r="C27" s="231"/>
      <c r="D27" s="116">
        <v>24</v>
      </c>
      <c r="E27" s="11"/>
      <c r="F27" s="11"/>
      <c r="G27" s="25" t="s">
        <v>11</v>
      </c>
      <c r="H27" s="51">
        <f>SUM(H24:H26)</f>
        <v>1630</v>
      </c>
      <c r="I27" s="51">
        <f>SUM(I24:I26)</f>
        <v>1737</v>
      </c>
      <c r="J27" s="51">
        <f>SUM(J24:J26)</f>
        <v>1737</v>
      </c>
      <c r="K27" s="51">
        <f>SUM(K24:K26)</f>
        <v>1903</v>
      </c>
    </row>
    <row r="28" spans="1:11" ht="12.75">
      <c r="A28" s="244"/>
      <c r="B28" s="229"/>
      <c r="C28" s="231"/>
      <c r="D28" s="116">
        <v>25</v>
      </c>
      <c r="E28" s="11"/>
      <c r="F28" s="11">
        <v>3314</v>
      </c>
      <c r="G28" s="2" t="s">
        <v>87</v>
      </c>
      <c r="H28" s="41">
        <v>30</v>
      </c>
      <c r="I28" s="41">
        <v>30</v>
      </c>
      <c r="J28" s="41">
        <v>30</v>
      </c>
      <c r="K28" s="41">
        <v>30</v>
      </c>
    </row>
    <row r="29" spans="1:11" ht="12.75">
      <c r="A29" s="244"/>
      <c r="B29" s="229"/>
      <c r="C29" s="231"/>
      <c r="D29" s="116">
        <v>26</v>
      </c>
      <c r="E29" s="11"/>
      <c r="F29" s="11">
        <v>3315</v>
      </c>
      <c r="G29" s="2" t="s">
        <v>213</v>
      </c>
      <c r="H29" s="41">
        <v>55</v>
      </c>
      <c r="I29" s="41">
        <v>55</v>
      </c>
      <c r="J29" s="41">
        <v>55</v>
      </c>
      <c r="K29" s="41">
        <v>55</v>
      </c>
    </row>
    <row r="30" spans="1:11" ht="12.75">
      <c r="A30" s="244"/>
      <c r="B30" s="229"/>
      <c r="C30" s="231"/>
      <c r="D30" s="116">
        <v>27</v>
      </c>
      <c r="E30" s="11"/>
      <c r="F30" s="11">
        <v>3319</v>
      </c>
      <c r="G30" s="2" t="s">
        <v>129</v>
      </c>
      <c r="H30" s="41">
        <v>140</v>
      </c>
      <c r="I30" s="151">
        <v>130</v>
      </c>
      <c r="J30" s="151">
        <v>130</v>
      </c>
      <c r="K30" s="151">
        <v>130</v>
      </c>
    </row>
    <row r="31" spans="1:11" ht="12.75">
      <c r="A31" s="244"/>
      <c r="B31" s="229"/>
      <c r="C31" s="231"/>
      <c r="D31" s="116">
        <v>28</v>
      </c>
      <c r="E31" s="11"/>
      <c r="F31" s="11">
        <v>3349</v>
      </c>
      <c r="G31" s="2" t="s">
        <v>12</v>
      </c>
      <c r="H31" s="41">
        <v>100</v>
      </c>
      <c r="I31" s="173">
        <v>100</v>
      </c>
      <c r="J31" s="173">
        <v>100</v>
      </c>
      <c r="K31" s="173">
        <v>100</v>
      </c>
    </row>
    <row r="32" spans="1:11" ht="12.75">
      <c r="A32" s="244"/>
      <c r="B32" s="229"/>
      <c r="C32" s="231"/>
      <c r="D32" s="116">
        <v>29</v>
      </c>
      <c r="E32" s="11"/>
      <c r="F32" s="196">
        <v>3313.3392</v>
      </c>
      <c r="G32" s="2" t="s">
        <v>13</v>
      </c>
      <c r="H32" s="41">
        <v>750</v>
      </c>
      <c r="I32" s="151">
        <v>700</v>
      </c>
      <c r="J32" s="151">
        <v>700</v>
      </c>
      <c r="K32" s="151">
        <v>700</v>
      </c>
    </row>
    <row r="33" spans="1:11" ht="12.75">
      <c r="A33" s="244"/>
      <c r="B33" s="229"/>
      <c r="C33" s="231"/>
      <c r="D33" s="116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244"/>
      <c r="B34" s="229"/>
      <c r="C34" s="231"/>
      <c r="D34" s="116">
        <v>31</v>
      </c>
      <c r="E34" s="11"/>
      <c r="F34" s="11"/>
      <c r="G34" s="25" t="s">
        <v>14</v>
      </c>
      <c r="H34" s="50">
        <f>SUM(H28:H33)</f>
        <v>1075</v>
      </c>
      <c r="I34" s="50">
        <f>SUM(I28:I33)</f>
        <v>1015</v>
      </c>
      <c r="J34" s="50">
        <f>SUM(J28:J33)</f>
        <v>1015</v>
      </c>
      <c r="K34" s="50">
        <f>SUM(K28:K33)</f>
        <v>1015</v>
      </c>
    </row>
    <row r="35" spans="1:11" ht="12.75">
      <c r="A35" s="244"/>
      <c r="B35" s="229"/>
      <c r="C35" s="231"/>
      <c r="D35" s="116">
        <v>32</v>
      </c>
      <c r="E35" s="11"/>
      <c r="F35" s="11">
        <v>3612</v>
      </c>
      <c r="G35" s="78" t="s">
        <v>70</v>
      </c>
      <c r="H35" s="223">
        <v>11420</v>
      </c>
      <c r="I35" s="246">
        <v>11530</v>
      </c>
      <c r="J35" s="246">
        <v>11530</v>
      </c>
      <c r="K35" s="246">
        <v>11530</v>
      </c>
    </row>
    <row r="36" spans="1:11" ht="12.75">
      <c r="A36" s="244"/>
      <c r="B36" s="229"/>
      <c r="C36" s="231"/>
      <c r="D36" s="116">
        <v>33</v>
      </c>
      <c r="E36" s="11"/>
      <c r="F36" s="11">
        <v>3612</v>
      </c>
      <c r="G36" s="79" t="s">
        <v>103</v>
      </c>
      <c r="H36" s="218"/>
      <c r="I36" s="247"/>
      <c r="J36" s="247"/>
      <c r="K36" s="247"/>
    </row>
    <row r="37" spans="1:11" ht="12.75">
      <c r="A37" s="244"/>
      <c r="B37" s="229"/>
      <c r="C37" s="231"/>
      <c r="D37" s="116">
        <v>34</v>
      </c>
      <c r="E37" s="11"/>
      <c r="F37" s="11">
        <v>3612</v>
      </c>
      <c r="G37" s="79" t="s">
        <v>104</v>
      </c>
      <c r="H37" s="219"/>
      <c r="I37" s="248"/>
      <c r="J37" s="248"/>
      <c r="K37" s="248"/>
    </row>
    <row r="38" spans="1:11" ht="12.75">
      <c r="A38" s="244"/>
      <c r="B38" s="229"/>
      <c r="C38" s="231"/>
      <c r="D38" s="116">
        <v>35</v>
      </c>
      <c r="E38" s="11"/>
      <c r="F38" s="11">
        <v>3632</v>
      </c>
      <c r="G38" s="2" t="s">
        <v>15</v>
      </c>
      <c r="H38" s="179">
        <v>100</v>
      </c>
      <c r="I38" s="41">
        <v>100</v>
      </c>
      <c r="J38" s="41">
        <v>100</v>
      </c>
      <c r="K38" s="41">
        <v>100</v>
      </c>
    </row>
    <row r="39" spans="1:11" ht="12.75">
      <c r="A39" s="244"/>
      <c r="B39" s="229"/>
      <c r="C39" s="231"/>
      <c r="D39" s="116">
        <v>36</v>
      </c>
      <c r="E39" s="11"/>
      <c r="F39" s="11">
        <v>3639</v>
      </c>
      <c r="G39" s="2" t="s">
        <v>97</v>
      </c>
      <c r="H39" s="41">
        <v>50</v>
      </c>
      <c r="I39" s="41">
        <v>50</v>
      </c>
      <c r="J39" s="41">
        <v>50</v>
      </c>
      <c r="K39" s="41">
        <v>50</v>
      </c>
    </row>
    <row r="40" spans="1:11" ht="12.75">
      <c r="A40" s="244"/>
      <c r="B40" s="229"/>
      <c r="C40" s="231"/>
      <c r="D40" s="116">
        <v>37</v>
      </c>
      <c r="E40" s="11"/>
      <c r="F40" s="11">
        <v>3639</v>
      </c>
      <c r="G40" s="2" t="s">
        <v>82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244"/>
      <c r="B41" s="229"/>
      <c r="C41" s="231"/>
      <c r="D41" s="116">
        <v>38</v>
      </c>
      <c r="E41" s="11"/>
      <c r="F41" s="196" t="s">
        <v>210</v>
      </c>
      <c r="G41" s="2" t="s">
        <v>83</v>
      </c>
      <c r="H41" s="45">
        <v>400</v>
      </c>
      <c r="I41" s="45">
        <v>400</v>
      </c>
      <c r="J41" s="45">
        <v>400</v>
      </c>
      <c r="K41" s="45">
        <v>400</v>
      </c>
    </row>
    <row r="42" spans="1:11" ht="12.75">
      <c r="A42" s="244"/>
      <c r="B42" s="229"/>
      <c r="C42" s="231"/>
      <c r="D42" s="116">
        <v>39</v>
      </c>
      <c r="E42" s="11"/>
      <c r="F42" s="11" t="s">
        <v>211</v>
      </c>
      <c r="G42" s="2" t="s">
        <v>114</v>
      </c>
      <c r="H42" s="41">
        <v>200</v>
      </c>
      <c r="I42" s="41">
        <v>200</v>
      </c>
      <c r="J42" s="41">
        <v>200</v>
      </c>
      <c r="K42" s="41">
        <v>200</v>
      </c>
    </row>
    <row r="43" spans="1:11" ht="12.75">
      <c r="A43" s="244"/>
      <c r="B43" s="229"/>
      <c r="C43" s="231"/>
      <c r="D43" s="116">
        <v>40</v>
      </c>
      <c r="E43" s="11"/>
      <c r="F43" s="11"/>
      <c r="G43" s="25" t="s">
        <v>16</v>
      </c>
      <c r="H43" s="50">
        <f>SUM(H35:H42)</f>
        <v>13520</v>
      </c>
      <c r="I43" s="50">
        <f>SUM(I35:I42)</f>
        <v>13630</v>
      </c>
      <c r="J43" s="50">
        <f>SUM(J35:J42)</f>
        <v>13630</v>
      </c>
      <c r="K43" s="50">
        <f>SUM(K35:K42)</f>
        <v>13630</v>
      </c>
    </row>
    <row r="44" spans="1:11" ht="12.75">
      <c r="A44" s="244"/>
      <c r="B44" s="229"/>
      <c r="C44" s="231"/>
      <c r="D44" s="116">
        <v>41</v>
      </c>
      <c r="E44" s="11">
        <v>2212</v>
      </c>
      <c r="F44" s="11">
        <v>5311</v>
      </c>
      <c r="G44" s="2" t="s">
        <v>17</v>
      </c>
      <c r="H44" s="41">
        <f>40+40</f>
        <v>80</v>
      </c>
      <c r="I44" s="41">
        <f>40+40</f>
        <v>80</v>
      </c>
      <c r="J44" s="41">
        <f>40+40</f>
        <v>80</v>
      </c>
      <c r="K44" s="41">
        <f>40+40</f>
        <v>80</v>
      </c>
    </row>
    <row r="45" spans="1:11" ht="12.75">
      <c r="A45" s="244"/>
      <c r="B45" s="229"/>
      <c r="C45" s="231"/>
      <c r="D45" s="116">
        <v>42</v>
      </c>
      <c r="E45" s="11">
        <v>2212</v>
      </c>
      <c r="F45" s="11">
        <v>6171</v>
      </c>
      <c r="G45" s="2" t="s">
        <v>121</v>
      </c>
      <c r="H45" s="41">
        <v>30</v>
      </c>
      <c r="I45" s="41">
        <v>30</v>
      </c>
      <c r="J45" s="41">
        <v>30</v>
      </c>
      <c r="K45" s="41">
        <v>30</v>
      </c>
    </row>
    <row r="46" spans="1:11" ht="12.75">
      <c r="A46" s="244"/>
      <c r="B46" s="229"/>
      <c r="C46" s="231"/>
      <c r="D46" s="116">
        <v>43</v>
      </c>
      <c r="E46" s="11">
        <v>2111</v>
      </c>
      <c r="F46" s="11">
        <v>6171</v>
      </c>
      <c r="G46" s="2" t="s">
        <v>214</v>
      </c>
      <c r="H46" s="41">
        <v>30</v>
      </c>
      <c r="I46" s="41">
        <v>30</v>
      </c>
      <c r="J46" s="41">
        <v>30</v>
      </c>
      <c r="K46" s="41">
        <v>30</v>
      </c>
    </row>
    <row r="47" spans="1:11" ht="12.75">
      <c r="A47" s="244"/>
      <c r="B47" s="229"/>
      <c r="C47" s="231"/>
      <c r="D47" s="116">
        <v>44</v>
      </c>
      <c r="E47" s="11"/>
      <c r="F47" s="11"/>
      <c r="G47" s="25" t="s">
        <v>18</v>
      </c>
      <c r="H47" s="50">
        <f>SUM(H44:H46)</f>
        <v>140</v>
      </c>
      <c r="I47" s="50">
        <f>SUM(I44:I46)</f>
        <v>140</v>
      </c>
      <c r="J47" s="50">
        <f>SUM(J44:J46)</f>
        <v>140</v>
      </c>
      <c r="K47" s="50">
        <f>SUM(K44:K46)</f>
        <v>140</v>
      </c>
    </row>
    <row r="48" spans="1:11" ht="12.75">
      <c r="A48" s="244"/>
      <c r="B48" s="229"/>
      <c r="C48" s="231"/>
      <c r="D48" s="116">
        <v>45</v>
      </c>
      <c r="E48" s="11">
        <v>2111</v>
      </c>
      <c r="F48" s="11">
        <v>4351</v>
      </c>
      <c r="G48" s="4" t="s">
        <v>92</v>
      </c>
      <c r="H48" s="41">
        <v>250</v>
      </c>
      <c r="I48" s="41">
        <v>250</v>
      </c>
      <c r="J48" s="41">
        <v>250</v>
      </c>
      <c r="K48" s="41">
        <v>250</v>
      </c>
    </row>
    <row r="49" spans="1:11" ht="12.75">
      <c r="A49" s="244"/>
      <c r="B49" s="229"/>
      <c r="C49" s="231"/>
      <c r="D49" s="116">
        <v>46</v>
      </c>
      <c r="E49" s="11"/>
      <c r="F49" s="11">
        <v>5512</v>
      </c>
      <c r="G49" s="2" t="s">
        <v>153</v>
      </c>
      <c r="H49" s="41">
        <v>30</v>
      </c>
      <c r="I49" s="41">
        <v>30</v>
      </c>
      <c r="J49" s="151">
        <f>30+28</f>
        <v>58</v>
      </c>
      <c r="K49" s="151">
        <f>30+28</f>
        <v>58</v>
      </c>
    </row>
    <row r="50" spans="1:11" ht="12.75">
      <c r="A50" s="244"/>
      <c r="B50" s="229"/>
      <c r="C50" s="231"/>
      <c r="D50" s="116">
        <v>47</v>
      </c>
      <c r="E50" s="11">
        <v>2141</v>
      </c>
      <c r="F50" s="11">
        <v>6310</v>
      </c>
      <c r="G50" s="2" t="s">
        <v>101</v>
      </c>
      <c r="H50" s="41">
        <v>100</v>
      </c>
      <c r="I50" s="41">
        <v>100</v>
      </c>
      <c r="J50" s="151">
        <v>100</v>
      </c>
      <c r="K50" s="151">
        <v>100</v>
      </c>
    </row>
    <row r="51" spans="1:14" ht="12.75">
      <c r="A51" s="244"/>
      <c r="B51" s="229"/>
      <c r="C51" s="231"/>
      <c r="D51" s="116">
        <v>48</v>
      </c>
      <c r="E51" s="11">
        <v>2322</v>
      </c>
      <c r="F51" s="196" t="s">
        <v>170</v>
      </c>
      <c r="G51" s="2" t="s">
        <v>120</v>
      </c>
      <c r="H51" s="41">
        <v>0</v>
      </c>
      <c r="I51" s="41">
        <v>0</v>
      </c>
      <c r="J51" s="151">
        <v>18</v>
      </c>
      <c r="K51" s="151">
        <v>18</v>
      </c>
      <c r="L51" s="147"/>
      <c r="M51" s="147"/>
      <c r="N51" s="147"/>
    </row>
    <row r="52" spans="1:11" ht="12.75">
      <c r="A52" s="244"/>
      <c r="B52" s="229"/>
      <c r="C52" s="231"/>
      <c r="D52" s="116">
        <v>49</v>
      </c>
      <c r="E52" s="196" t="s">
        <v>208</v>
      </c>
      <c r="F52" s="154">
        <v>6171</v>
      </c>
      <c r="G52" s="155" t="s">
        <v>175</v>
      </c>
      <c r="H52" s="151">
        <v>0</v>
      </c>
      <c r="I52" s="49">
        <v>0</v>
      </c>
      <c r="J52" s="49">
        <v>0</v>
      </c>
      <c r="K52" s="49">
        <v>0</v>
      </c>
    </row>
    <row r="53" spans="1:11" ht="12.75">
      <c r="A53" s="244"/>
      <c r="B53" s="229"/>
      <c r="C53" s="231"/>
      <c r="D53" s="116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41">
        <v>0</v>
      </c>
    </row>
    <row r="54" spans="1:11" ht="12.75">
      <c r="A54" s="244"/>
      <c r="B54" s="229"/>
      <c r="C54" s="231"/>
      <c r="D54" s="116">
        <v>51</v>
      </c>
      <c r="E54" s="76" t="s">
        <v>209</v>
      </c>
      <c r="F54" s="11">
        <v>6171</v>
      </c>
      <c r="G54" s="2" t="s">
        <v>156</v>
      </c>
      <c r="H54" s="41">
        <v>150</v>
      </c>
      <c r="I54" s="41">
        <v>150</v>
      </c>
      <c r="J54" s="41">
        <v>150</v>
      </c>
      <c r="K54" s="41">
        <v>150</v>
      </c>
    </row>
    <row r="55" spans="1:11" ht="12.75">
      <c r="A55" s="244"/>
      <c r="B55" s="229"/>
      <c r="C55" s="231"/>
      <c r="D55" s="116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41">
        <v>0</v>
      </c>
    </row>
    <row r="56" spans="1:11" ht="12.75">
      <c r="A56" s="244"/>
      <c r="B56" s="229"/>
      <c r="C56" s="231"/>
      <c r="D56" s="116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41">
        <v>0</v>
      </c>
    </row>
    <row r="57" spans="1:11" ht="12.75">
      <c r="A57" s="244"/>
      <c r="B57" s="229"/>
      <c r="C57" s="231"/>
      <c r="D57" s="116">
        <v>54</v>
      </c>
      <c r="E57" s="11"/>
      <c r="F57" s="11"/>
      <c r="G57" s="25" t="s">
        <v>19</v>
      </c>
      <c r="H57" s="50">
        <f>SUM(H48:H56)</f>
        <v>530</v>
      </c>
      <c r="I57" s="50">
        <f>SUM(I48:I56)</f>
        <v>530</v>
      </c>
      <c r="J57" s="50">
        <f>SUM(J48:J56)</f>
        <v>576</v>
      </c>
      <c r="K57" s="50">
        <f>SUM(K48:K56)</f>
        <v>576</v>
      </c>
    </row>
    <row r="58" spans="1:11" ht="12.75">
      <c r="A58" s="244"/>
      <c r="B58" s="229"/>
      <c r="C58" s="231"/>
      <c r="D58" s="116">
        <v>55</v>
      </c>
      <c r="E58" s="11"/>
      <c r="F58" s="11"/>
      <c r="G58" s="3" t="s">
        <v>20</v>
      </c>
      <c r="H58" s="49">
        <f>H23+H27+H34+H43+H47+H57</f>
        <v>17495</v>
      </c>
      <c r="I58" s="49">
        <f>I23+I27+I34+I43+I47+I57</f>
        <v>17652</v>
      </c>
      <c r="J58" s="49">
        <f>J23+J27+J34+J43+J47+J57</f>
        <v>17698</v>
      </c>
      <c r="K58" s="49">
        <f>K23+K27+K34+K43+K47+K57</f>
        <v>18353</v>
      </c>
    </row>
    <row r="59" spans="1:11" ht="12.75">
      <c r="A59" s="244"/>
      <c r="B59" s="229"/>
      <c r="C59" s="231"/>
      <c r="D59" s="116">
        <v>56</v>
      </c>
      <c r="E59" s="11"/>
      <c r="F59" s="11"/>
      <c r="G59" s="3" t="s">
        <v>26</v>
      </c>
      <c r="H59" s="49">
        <f>H21+H58</f>
        <v>92174</v>
      </c>
      <c r="I59" s="49">
        <f>I21+I58</f>
        <v>89801</v>
      </c>
      <c r="J59" s="49">
        <f>J21+J58</f>
        <v>91403</v>
      </c>
      <c r="K59" s="49">
        <f>K21+K58</f>
        <v>92746</v>
      </c>
    </row>
    <row r="60" spans="1:11" ht="12.75" customHeight="1">
      <c r="A60" s="244"/>
      <c r="B60" s="232" t="s">
        <v>21</v>
      </c>
      <c r="C60" s="239"/>
      <c r="D60" s="116">
        <v>57</v>
      </c>
      <c r="E60" s="11">
        <v>3111</v>
      </c>
      <c r="F60" s="12">
        <v>3639</v>
      </c>
      <c r="G60" s="4" t="s">
        <v>108</v>
      </c>
      <c r="H60" s="41">
        <v>200</v>
      </c>
      <c r="I60" s="41">
        <v>200</v>
      </c>
      <c r="J60" s="41">
        <v>200</v>
      </c>
      <c r="K60" s="149">
        <f>200+619</f>
        <v>819</v>
      </c>
    </row>
    <row r="61" spans="1:11" ht="12.75" customHeight="1">
      <c r="A61" s="244"/>
      <c r="B61" s="240"/>
      <c r="C61" s="239"/>
      <c r="D61" s="116">
        <v>58</v>
      </c>
      <c r="E61" s="11">
        <v>3112</v>
      </c>
      <c r="F61" s="12">
        <v>3639</v>
      </c>
      <c r="G61" s="5" t="s">
        <v>145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244"/>
      <c r="B62" s="240"/>
      <c r="C62" s="239"/>
      <c r="D62" s="116">
        <v>59</v>
      </c>
      <c r="E62" s="11">
        <v>3121</v>
      </c>
      <c r="F62" s="12"/>
      <c r="G62" s="5" t="s">
        <v>141</v>
      </c>
      <c r="H62" s="41">
        <v>0</v>
      </c>
      <c r="I62" s="41">
        <v>0</v>
      </c>
      <c r="J62" s="41">
        <v>0</v>
      </c>
      <c r="K62" s="41">
        <v>0</v>
      </c>
    </row>
    <row r="63" spans="1:11" ht="12.75" customHeight="1">
      <c r="A63" s="244"/>
      <c r="B63" s="240"/>
      <c r="C63" s="239"/>
      <c r="D63" s="116">
        <v>60</v>
      </c>
      <c r="E63" s="11">
        <v>3202</v>
      </c>
      <c r="F63" s="12"/>
      <c r="G63" s="5" t="s">
        <v>89</v>
      </c>
      <c r="H63" s="41">
        <v>0</v>
      </c>
      <c r="I63" s="41">
        <v>0</v>
      </c>
      <c r="J63" s="151">
        <f>835+256+100</f>
        <v>1191</v>
      </c>
      <c r="K63" s="149">
        <f>835+256+100+70</f>
        <v>1261</v>
      </c>
    </row>
    <row r="64" spans="1:11" ht="12.75" customHeight="1">
      <c r="A64" s="244"/>
      <c r="B64" s="240"/>
      <c r="C64" s="239"/>
      <c r="D64" s="116">
        <v>61</v>
      </c>
      <c r="E64" s="11">
        <v>3122</v>
      </c>
      <c r="F64" s="12"/>
      <c r="G64" s="5" t="s">
        <v>142</v>
      </c>
      <c r="H64" s="41">
        <v>0</v>
      </c>
      <c r="I64" s="41">
        <v>0</v>
      </c>
      <c r="J64" s="41">
        <v>0</v>
      </c>
      <c r="K64" s="41">
        <v>0</v>
      </c>
    </row>
    <row r="65" spans="1:11" ht="12.75" customHeight="1">
      <c r="A65" s="244"/>
      <c r="B65" s="240"/>
      <c r="C65" s="239"/>
      <c r="D65" s="116">
        <v>62</v>
      </c>
      <c r="E65" s="11"/>
      <c r="F65" s="12"/>
      <c r="G65" s="6" t="s">
        <v>27</v>
      </c>
      <c r="H65" s="40">
        <f>SUM(H60:H64)</f>
        <v>200</v>
      </c>
      <c r="I65" s="40">
        <f>SUM(I60:I64)</f>
        <v>200</v>
      </c>
      <c r="J65" s="40">
        <f>SUM(J60:J64)</f>
        <v>1391</v>
      </c>
      <c r="K65" s="40">
        <f>SUM(K60:K64)</f>
        <v>2080</v>
      </c>
    </row>
    <row r="66" spans="1:11" ht="12.75" customHeight="1" thickBot="1">
      <c r="A66" s="245"/>
      <c r="B66" s="241"/>
      <c r="C66" s="242"/>
      <c r="D66" s="117">
        <v>63</v>
      </c>
      <c r="E66" s="15"/>
      <c r="F66" s="16"/>
      <c r="G66" s="24" t="s">
        <v>65</v>
      </c>
      <c r="H66" s="43">
        <f>H59+H65</f>
        <v>92374</v>
      </c>
      <c r="I66" s="43">
        <f>I59+I65</f>
        <v>90001</v>
      </c>
      <c r="J66" s="43">
        <f>J59+J65</f>
        <v>92794</v>
      </c>
      <c r="K66" s="43">
        <f>K59+K65</f>
        <v>94826</v>
      </c>
    </row>
    <row r="67" spans="1:11" ht="12.75" customHeight="1">
      <c r="A67" s="225" t="s">
        <v>25</v>
      </c>
      <c r="B67" s="228" t="s">
        <v>30</v>
      </c>
      <c r="C67" s="236"/>
      <c r="D67" s="115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226"/>
      <c r="B68" s="237"/>
      <c r="C68" s="238"/>
      <c r="D68" s="116">
        <v>65</v>
      </c>
      <c r="E68" s="11">
        <v>4112</v>
      </c>
      <c r="F68" s="11"/>
      <c r="G68" s="5" t="s">
        <v>22</v>
      </c>
      <c r="H68" s="183">
        <f>4895+9</f>
        <v>4904</v>
      </c>
      <c r="I68" s="183">
        <f>4904-136</f>
        <v>4768</v>
      </c>
      <c r="J68" s="209">
        <f>4904-136</f>
        <v>4768</v>
      </c>
      <c r="K68" s="209">
        <f>4904-136</f>
        <v>4768</v>
      </c>
    </row>
    <row r="69" spans="1:11" ht="12.75">
      <c r="A69" s="226"/>
      <c r="B69" s="237"/>
      <c r="C69" s="238"/>
      <c r="D69" s="116">
        <v>66</v>
      </c>
      <c r="E69" s="11">
        <v>4116</v>
      </c>
      <c r="F69" s="11">
        <v>3742</v>
      </c>
      <c r="G69" s="5" t="s">
        <v>169</v>
      </c>
      <c r="H69" s="45">
        <v>0</v>
      </c>
      <c r="I69" s="45">
        <v>0</v>
      </c>
      <c r="J69" s="45">
        <v>0</v>
      </c>
      <c r="K69" s="45">
        <v>0</v>
      </c>
    </row>
    <row r="70" spans="1:11" ht="12.75">
      <c r="A70" s="226"/>
      <c r="B70" s="237"/>
      <c r="C70" s="238"/>
      <c r="D70" s="116">
        <v>67</v>
      </c>
      <c r="E70" s="11">
        <v>4116.22</v>
      </c>
      <c r="F70" s="11"/>
      <c r="G70" s="7" t="s">
        <v>144</v>
      </c>
      <c r="H70" s="45">
        <v>500</v>
      </c>
      <c r="I70" s="45">
        <v>500</v>
      </c>
      <c r="J70" s="45">
        <v>500</v>
      </c>
      <c r="K70" s="45">
        <v>500</v>
      </c>
    </row>
    <row r="71" spans="1:11" ht="12.75">
      <c r="A71" s="226"/>
      <c r="B71" s="237"/>
      <c r="C71" s="238"/>
      <c r="D71" s="116">
        <v>68</v>
      </c>
      <c r="E71" s="11">
        <v>4116</v>
      </c>
      <c r="F71" s="11"/>
      <c r="G71" s="7" t="s">
        <v>118</v>
      </c>
      <c r="H71" s="41">
        <v>2000</v>
      </c>
      <c r="I71" s="149">
        <f>2000+500</f>
        <v>2500</v>
      </c>
      <c r="J71" s="151">
        <f>2000+500</f>
        <v>2500</v>
      </c>
      <c r="K71" s="151">
        <f>2000+500</f>
        <v>2500</v>
      </c>
    </row>
    <row r="72" spans="1:11" ht="12.75">
      <c r="A72" s="226"/>
      <c r="B72" s="237"/>
      <c r="C72" s="238"/>
      <c r="D72" s="116">
        <v>69</v>
      </c>
      <c r="E72" s="11">
        <v>4111</v>
      </c>
      <c r="F72" s="11" t="s">
        <v>242</v>
      </c>
      <c r="G72" s="7" t="s">
        <v>243</v>
      </c>
      <c r="H72" s="41">
        <v>0</v>
      </c>
      <c r="I72" s="41">
        <v>0</v>
      </c>
      <c r="J72" s="149">
        <v>130</v>
      </c>
      <c r="K72" s="151">
        <v>130</v>
      </c>
    </row>
    <row r="73" spans="1:11" ht="12.75">
      <c r="A73" s="226"/>
      <c r="B73" s="237"/>
      <c r="C73" s="238"/>
      <c r="D73" s="116">
        <v>70</v>
      </c>
      <c r="E73" s="11">
        <v>4121</v>
      </c>
      <c r="F73" s="11"/>
      <c r="G73" s="7" t="s">
        <v>215</v>
      </c>
      <c r="H73" s="41">
        <v>500</v>
      </c>
      <c r="I73" s="151">
        <v>606</v>
      </c>
      <c r="J73" s="151">
        <v>606</v>
      </c>
      <c r="K73" s="151">
        <v>606</v>
      </c>
    </row>
    <row r="74" spans="1:11" ht="12.75">
      <c r="A74" s="226"/>
      <c r="B74" s="237"/>
      <c r="C74" s="238"/>
      <c r="D74" s="116">
        <v>71</v>
      </c>
      <c r="E74" s="11">
        <v>4116</v>
      </c>
      <c r="F74" s="11"/>
      <c r="G74" s="7" t="s">
        <v>154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226"/>
      <c r="B75" s="237"/>
      <c r="C75" s="238"/>
      <c r="D75" s="116">
        <v>72</v>
      </c>
      <c r="E75" s="11">
        <v>4122</v>
      </c>
      <c r="F75" s="11" t="s">
        <v>232</v>
      </c>
      <c r="G75" s="7" t="s">
        <v>227</v>
      </c>
      <c r="H75" s="41">
        <v>0</v>
      </c>
      <c r="I75" s="41">
        <v>0</v>
      </c>
      <c r="J75" s="151">
        <v>26</v>
      </c>
      <c r="K75" s="149">
        <f>26+118-12</f>
        <v>132</v>
      </c>
    </row>
    <row r="76" spans="1:11" ht="12.75">
      <c r="A76" s="226"/>
      <c r="B76" s="237"/>
      <c r="C76" s="238"/>
      <c r="D76" s="116">
        <v>73</v>
      </c>
      <c r="E76" s="11">
        <v>4122</v>
      </c>
      <c r="F76" s="11"/>
      <c r="G76" s="7" t="s">
        <v>223</v>
      </c>
      <c r="H76" s="41">
        <v>0</v>
      </c>
      <c r="I76" s="41">
        <v>0</v>
      </c>
      <c r="J76" s="151">
        <v>30</v>
      </c>
      <c r="K76" s="151">
        <v>30</v>
      </c>
    </row>
    <row r="77" spans="1:11" ht="12.75">
      <c r="A77" s="226"/>
      <c r="B77" s="237"/>
      <c r="C77" s="238"/>
      <c r="D77" s="116">
        <v>74</v>
      </c>
      <c r="E77" s="11">
        <v>4122</v>
      </c>
      <c r="F77" s="11"/>
      <c r="G77" s="7" t="s">
        <v>250</v>
      </c>
      <c r="H77" s="41">
        <v>0</v>
      </c>
      <c r="I77" s="41">
        <v>0</v>
      </c>
      <c r="J77" s="41">
        <v>0</v>
      </c>
      <c r="K77" s="149">
        <v>2</v>
      </c>
    </row>
    <row r="78" spans="1:11" ht="12.75">
      <c r="A78" s="226"/>
      <c r="B78" s="237"/>
      <c r="C78" s="238"/>
      <c r="D78" s="116">
        <v>75</v>
      </c>
      <c r="E78" s="11">
        <v>4116</v>
      </c>
      <c r="F78" s="11"/>
      <c r="G78" s="7" t="s">
        <v>171</v>
      </c>
      <c r="H78" s="41">
        <v>0</v>
      </c>
      <c r="I78" s="49">
        <v>0</v>
      </c>
      <c r="J78" s="49">
        <v>0</v>
      </c>
      <c r="K78" s="49">
        <v>0</v>
      </c>
    </row>
    <row r="79" spans="1:11" ht="12.75">
      <c r="A79" s="226"/>
      <c r="B79" s="237"/>
      <c r="C79" s="238"/>
      <c r="D79" s="116">
        <v>76</v>
      </c>
      <c r="E79" s="11"/>
      <c r="F79" s="11"/>
      <c r="G79" s="8" t="s">
        <v>23</v>
      </c>
      <c r="H79" s="49">
        <f>SUM(H67:H78)</f>
        <v>7904</v>
      </c>
      <c r="I79" s="49">
        <f>SUM(I67:I78)</f>
        <v>8374</v>
      </c>
      <c r="J79" s="49">
        <f>SUM(J67:J78)</f>
        <v>8560</v>
      </c>
      <c r="K79" s="49">
        <f>SUM(K67:K78)</f>
        <v>8668</v>
      </c>
    </row>
    <row r="80" spans="1:11" ht="12.75">
      <c r="A80" s="226"/>
      <c r="B80" s="232" t="s">
        <v>31</v>
      </c>
      <c r="C80" s="231"/>
      <c r="D80" s="116">
        <v>77</v>
      </c>
      <c r="E80" s="11">
        <v>4213</v>
      </c>
      <c r="F80" s="11" t="s">
        <v>165</v>
      </c>
      <c r="G80" s="7" t="s">
        <v>167</v>
      </c>
      <c r="H80" s="41">
        <v>0</v>
      </c>
      <c r="I80" s="41">
        <v>0</v>
      </c>
      <c r="J80" s="151">
        <v>0</v>
      </c>
      <c r="K80" s="151">
        <v>0</v>
      </c>
    </row>
    <row r="81" spans="1:11" ht="12.75">
      <c r="A81" s="226"/>
      <c r="B81" s="229"/>
      <c r="C81" s="231"/>
      <c r="D81" s="116">
        <v>78</v>
      </c>
      <c r="E81" s="11">
        <v>4216</v>
      </c>
      <c r="F81" s="11" t="s">
        <v>168</v>
      </c>
      <c r="G81" s="7" t="s">
        <v>166</v>
      </c>
      <c r="H81" s="41">
        <v>0</v>
      </c>
      <c r="I81" s="41">
        <v>0</v>
      </c>
      <c r="J81" s="151">
        <v>0</v>
      </c>
      <c r="K81" s="151">
        <v>0</v>
      </c>
    </row>
    <row r="82" spans="1:11" ht="12.75">
      <c r="A82" s="226"/>
      <c r="B82" s="229"/>
      <c r="C82" s="231"/>
      <c r="D82" s="116">
        <v>79</v>
      </c>
      <c r="E82" s="11">
        <v>4216</v>
      </c>
      <c r="F82" s="11" t="s">
        <v>176</v>
      </c>
      <c r="G82" s="7" t="s">
        <v>177</v>
      </c>
      <c r="H82" s="41">
        <v>0</v>
      </c>
      <c r="I82" s="49">
        <v>0</v>
      </c>
      <c r="J82" s="151">
        <v>0</v>
      </c>
      <c r="K82" s="151">
        <v>0</v>
      </c>
    </row>
    <row r="83" spans="1:11" ht="12.75">
      <c r="A83" s="226"/>
      <c r="B83" s="229"/>
      <c r="C83" s="231"/>
      <c r="D83" s="116">
        <v>80</v>
      </c>
      <c r="E83" s="11">
        <v>4216</v>
      </c>
      <c r="F83" s="11"/>
      <c r="G83" s="7" t="s">
        <v>240</v>
      </c>
      <c r="H83" s="41">
        <v>0</v>
      </c>
      <c r="I83" s="49">
        <v>0</v>
      </c>
      <c r="J83" s="216">
        <v>450</v>
      </c>
      <c r="K83" s="151">
        <v>450</v>
      </c>
    </row>
    <row r="84" spans="1:11" ht="12.75">
      <c r="A84" s="226"/>
      <c r="B84" s="229"/>
      <c r="C84" s="231"/>
      <c r="D84" s="116">
        <v>81</v>
      </c>
      <c r="E84" s="11">
        <v>4222</v>
      </c>
      <c r="F84" s="11"/>
      <c r="G84" s="7" t="s">
        <v>238</v>
      </c>
      <c r="H84" s="41">
        <v>0</v>
      </c>
      <c r="I84" s="41">
        <v>0</v>
      </c>
      <c r="J84" s="149">
        <v>901</v>
      </c>
      <c r="K84" s="151">
        <v>901</v>
      </c>
    </row>
    <row r="85" spans="1:11" ht="12.75">
      <c r="A85" s="226"/>
      <c r="B85" s="229"/>
      <c r="C85" s="231"/>
      <c r="D85" s="116">
        <v>82</v>
      </c>
      <c r="E85" s="11">
        <v>4222</v>
      </c>
      <c r="F85" s="11"/>
      <c r="G85" s="7" t="s">
        <v>231</v>
      </c>
      <c r="H85" s="41">
        <v>0</v>
      </c>
      <c r="I85" s="41">
        <v>0</v>
      </c>
      <c r="J85" s="151">
        <v>30</v>
      </c>
      <c r="K85" s="151">
        <v>30</v>
      </c>
    </row>
    <row r="86" spans="1:11" ht="12.75">
      <c r="A86" s="226"/>
      <c r="B86" s="229"/>
      <c r="C86" s="231"/>
      <c r="D86" s="116">
        <v>83</v>
      </c>
      <c r="E86" s="11">
        <v>4222</v>
      </c>
      <c r="F86" s="11"/>
      <c r="G86" s="7" t="s">
        <v>239</v>
      </c>
      <c r="H86" s="41">
        <v>0</v>
      </c>
      <c r="I86" s="41">
        <v>0</v>
      </c>
      <c r="J86" s="149">
        <v>110</v>
      </c>
      <c r="K86" s="151">
        <v>110</v>
      </c>
    </row>
    <row r="87" spans="1:11" ht="12.75">
      <c r="A87" s="226"/>
      <c r="B87" s="229"/>
      <c r="C87" s="231"/>
      <c r="D87" s="116">
        <v>84</v>
      </c>
      <c r="E87" s="11"/>
      <c r="F87" s="11"/>
      <c r="G87" s="8" t="s">
        <v>24</v>
      </c>
      <c r="H87" s="40">
        <f>SUM(H80:H86)</f>
        <v>0</v>
      </c>
      <c r="I87" s="40">
        <f>SUM(I80:I86)</f>
        <v>0</v>
      </c>
      <c r="J87" s="40">
        <f>SUM(J80:J86)</f>
        <v>1491</v>
      </c>
      <c r="K87" s="40">
        <f>SUM(K80:K86)</f>
        <v>1491</v>
      </c>
    </row>
    <row r="88" spans="1:11" ht="13.5" thickBot="1">
      <c r="A88" s="227"/>
      <c r="B88" s="233"/>
      <c r="C88" s="234"/>
      <c r="D88" s="118">
        <v>85</v>
      </c>
      <c r="E88" s="13"/>
      <c r="F88" s="13"/>
      <c r="G88" s="63" t="s">
        <v>66</v>
      </c>
      <c r="H88" s="64">
        <f>H79+H87</f>
        <v>7904</v>
      </c>
      <c r="I88" s="64">
        <f>I79+I87</f>
        <v>8374</v>
      </c>
      <c r="J88" s="64">
        <f>J79+J87</f>
        <v>10051</v>
      </c>
      <c r="K88" s="64">
        <f>K79+K87</f>
        <v>10159</v>
      </c>
    </row>
    <row r="89" spans="1:11" ht="13.5" thickBot="1">
      <c r="A89" s="65"/>
      <c r="B89" s="66"/>
      <c r="C89" s="113"/>
      <c r="D89" s="114">
        <v>86</v>
      </c>
      <c r="E89" s="67"/>
      <c r="F89" s="67"/>
      <c r="G89" s="68" t="s">
        <v>67</v>
      </c>
      <c r="H89" s="69">
        <f>H66+H88</f>
        <v>100278</v>
      </c>
      <c r="I89" s="69">
        <f>I66+I88</f>
        <v>98375</v>
      </c>
      <c r="J89" s="69">
        <f>J66+J88</f>
        <v>102845</v>
      </c>
      <c r="K89" s="69">
        <f>K66+K88</f>
        <v>104985</v>
      </c>
    </row>
    <row r="90" ht="12.75">
      <c r="D90" s="83"/>
    </row>
    <row r="91" ht="12.75">
      <c r="G91" s="55" t="s">
        <v>107</v>
      </c>
    </row>
    <row r="94" ht="12.75">
      <c r="G94" s="70"/>
    </row>
  </sheetData>
  <mergeCells count="14">
    <mergeCell ref="K35:K37"/>
    <mergeCell ref="H2:K2"/>
    <mergeCell ref="A2:G2"/>
    <mergeCell ref="H35:H37"/>
    <mergeCell ref="I35:I37"/>
    <mergeCell ref="J35:J37"/>
    <mergeCell ref="A67:A88"/>
    <mergeCell ref="B4:B59"/>
    <mergeCell ref="C22:C59"/>
    <mergeCell ref="B80:C88"/>
    <mergeCell ref="C4:C21"/>
    <mergeCell ref="B67:C79"/>
    <mergeCell ref="B60:C66"/>
    <mergeCell ref="A4:A66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="75" zoomScaleNormal="75" workbookViewId="0" topLeftCell="A1">
      <pane xSplit="6" ySplit="2" topLeftCell="G3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75" sqref="G75:G81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7.125" style="0" customWidth="1"/>
    <col min="7" max="7" width="15.25390625" style="0" customWidth="1"/>
    <col min="8" max="8" width="15.125" style="0" customWidth="1"/>
    <col min="9" max="9" width="15.25390625" style="0" customWidth="1"/>
    <col min="10" max="10" width="14.625" style="0" customWidth="1"/>
  </cols>
  <sheetData>
    <row r="1" spans="1:10" ht="16.5" thickBot="1">
      <c r="A1" s="224" t="s">
        <v>248</v>
      </c>
      <c r="B1" s="224"/>
      <c r="C1" s="224"/>
      <c r="D1" s="224"/>
      <c r="E1" s="224"/>
      <c r="F1" s="249" t="s">
        <v>246</v>
      </c>
      <c r="G1" s="311"/>
      <c r="H1" s="311"/>
      <c r="I1" s="311"/>
      <c r="J1" s="311"/>
    </row>
    <row r="2" spans="1:10" ht="32.25" customHeight="1" thickBot="1">
      <c r="A2" s="62"/>
      <c r="B2" s="20" t="s">
        <v>28</v>
      </c>
      <c r="C2" s="20" t="s">
        <v>1</v>
      </c>
      <c r="D2" s="20" t="s">
        <v>0</v>
      </c>
      <c r="E2" s="281" t="s">
        <v>2</v>
      </c>
      <c r="F2" s="282"/>
      <c r="G2" s="85" t="s">
        <v>164</v>
      </c>
      <c r="H2" s="85" t="s">
        <v>222</v>
      </c>
      <c r="I2" s="85" t="s">
        <v>237</v>
      </c>
      <c r="J2" s="85" t="s">
        <v>247</v>
      </c>
    </row>
    <row r="3" spans="1:10" ht="12.75">
      <c r="A3" s="291" t="s">
        <v>58</v>
      </c>
      <c r="B3" s="58">
        <v>1</v>
      </c>
      <c r="C3" s="58"/>
      <c r="D3" s="58">
        <v>1014</v>
      </c>
      <c r="E3" s="283" t="s">
        <v>85</v>
      </c>
      <c r="F3" s="284"/>
      <c r="G3" s="86">
        <v>300</v>
      </c>
      <c r="H3" s="199">
        <v>250</v>
      </c>
      <c r="I3" s="199">
        <v>250</v>
      </c>
      <c r="J3" s="199">
        <v>250</v>
      </c>
    </row>
    <row r="4" spans="1:10" ht="12.75">
      <c r="A4" s="292"/>
      <c r="B4" s="11">
        <v>2</v>
      </c>
      <c r="C4" s="11"/>
      <c r="D4" s="11"/>
      <c r="E4" s="285" t="s">
        <v>86</v>
      </c>
      <c r="F4" s="286"/>
      <c r="G4" s="87">
        <f>SUM(G3)</f>
        <v>300</v>
      </c>
      <c r="H4" s="87">
        <f>SUM(H3)</f>
        <v>250</v>
      </c>
      <c r="I4" s="87">
        <f>SUM(I3)</f>
        <v>250</v>
      </c>
      <c r="J4" s="87">
        <f>SUM(J3)</f>
        <v>250</v>
      </c>
    </row>
    <row r="5" spans="1:10" ht="12.75">
      <c r="A5" s="292"/>
      <c r="B5" s="11">
        <v>3</v>
      </c>
      <c r="C5" s="9">
        <v>5323</v>
      </c>
      <c r="D5" s="11">
        <v>2221</v>
      </c>
      <c r="E5" s="287" t="s">
        <v>71</v>
      </c>
      <c r="F5" s="286"/>
      <c r="G5" s="130">
        <f>570-10</f>
        <v>560</v>
      </c>
      <c r="H5" s="88">
        <v>560</v>
      </c>
      <c r="I5" s="212">
        <f>560+65</f>
        <v>625</v>
      </c>
      <c r="J5" s="212">
        <f>560+65</f>
        <v>625</v>
      </c>
    </row>
    <row r="6" spans="1:11" ht="12.75">
      <c r="A6" s="292"/>
      <c r="B6" s="11">
        <v>4</v>
      </c>
      <c r="C6" s="11"/>
      <c r="D6" s="11"/>
      <c r="E6" s="285" t="s">
        <v>72</v>
      </c>
      <c r="F6" s="286"/>
      <c r="G6" s="89">
        <f>SUM(G5)</f>
        <v>560</v>
      </c>
      <c r="H6" s="89">
        <f>SUM(H5)</f>
        <v>560</v>
      </c>
      <c r="I6" s="89">
        <f>SUM(I5)</f>
        <v>625</v>
      </c>
      <c r="J6" s="89">
        <f>SUM(J5)</f>
        <v>625</v>
      </c>
      <c r="K6" s="1"/>
    </row>
    <row r="7" spans="1:10" ht="12.75">
      <c r="A7" s="292"/>
      <c r="B7" s="11">
        <v>5</v>
      </c>
      <c r="C7" s="11"/>
      <c r="D7" s="11">
        <v>3111</v>
      </c>
      <c r="E7" s="231" t="s">
        <v>42</v>
      </c>
      <c r="F7" s="269"/>
      <c r="G7" s="90">
        <v>1818</v>
      </c>
      <c r="H7" s="152">
        <f>1961-150</f>
        <v>1811</v>
      </c>
      <c r="I7" s="152">
        <f>1961-150</f>
        <v>1811</v>
      </c>
      <c r="J7" s="148">
        <f>1961-150-17</f>
        <v>1794</v>
      </c>
    </row>
    <row r="8" spans="1:10" ht="12.75">
      <c r="A8" s="292"/>
      <c r="B8" s="11">
        <v>6</v>
      </c>
      <c r="C8" s="11"/>
      <c r="D8" s="11">
        <v>3119</v>
      </c>
      <c r="E8" s="231" t="s">
        <v>38</v>
      </c>
      <c r="F8" s="269"/>
      <c r="G8" s="90">
        <v>1092</v>
      </c>
      <c r="H8" s="152">
        <v>1131</v>
      </c>
      <c r="I8" s="152">
        <v>1131</v>
      </c>
      <c r="J8" s="152">
        <v>1131</v>
      </c>
    </row>
    <row r="9" spans="1:10" ht="12.75">
      <c r="A9" s="292"/>
      <c r="B9" s="11">
        <v>7</v>
      </c>
      <c r="C9" s="11"/>
      <c r="D9" s="11">
        <v>3113</v>
      </c>
      <c r="E9" s="231" t="s">
        <v>39</v>
      </c>
      <c r="F9" s="269"/>
      <c r="G9" s="90">
        <v>4948</v>
      </c>
      <c r="H9" s="152">
        <v>5737</v>
      </c>
      <c r="I9" s="152">
        <f>5737+30</f>
        <v>5767</v>
      </c>
      <c r="J9" s="148">
        <f>5737+30-26+2</f>
        <v>5743</v>
      </c>
    </row>
    <row r="10" spans="1:10" ht="12.75">
      <c r="A10" s="292"/>
      <c r="B10" s="11">
        <v>8</v>
      </c>
      <c r="C10" s="11"/>
      <c r="D10" s="11">
        <v>3141</v>
      </c>
      <c r="E10" s="231" t="s">
        <v>40</v>
      </c>
      <c r="F10" s="269"/>
      <c r="G10" s="141">
        <v>1458</v>
      </c>
      <c r="H10" s="200">
        <v>1480</v>
      </c>
      <c r="I10" s="200">
        <f>1480+26</f>
        <v>1506</v>
      </c>
      <c r="J10" s="217">
        <f>1480+26+118-12-2</f>
        <v>1610</v>
      </c>
    </row>
    <row r="11" spans="1:11" ht="12.75">
      <c r="A11" s="292"/>
      <c r="B11" s="11">
        <v>9</v>
      </c>
      <c r="C11" s="11"/>
      <c r="D11" s="11">
        <v>3111</v>
      </c>
      <c r="E11" s="288" t="s">
        <v>158</v>
      </c>
      <c r="F11" s="289"/>
      <c r="G11" s="141">
        <v>0</v>
      </c>
      <c r="H11" s="200">
        <v>0</v>
      </c>
      <c r="I11" s="200">
        <v>0</v>
      </c>
      <c r="J11" s="200">
        <v>0</v>
      </c>
      <c r="K11" s="139"/>
    </row>
    <row r="12" spans="1:10" ht="12.75">
      <c r="A12" s="292"/>
      <c r="B12" s="11">
        <v>10</v>
      </c>
      <c r="C12" s="11"/>
      <c r="D12" s="11"/>
      <c r="E12" s="288" t="s">
        <v>224</v>
      </c>
      <c r="F12" s="289"/>
      <c r="G12" s="140">
        <v>0</v>
      </c>
      <c r="H12" s="201">
        <v>1000</v>
      </c>
      <c r="I12" s="201">
        <v>1000</v>
      </c>
      <c r="J12" s="201">
        <v>1000</v>
      </c>
    </row>
    <row r="13" spans="1:10" ht="12.75">
      <c r="A13" s="292"/>
      <c r="B13" s="11">
        <v>11</v>
      </c>
      <c r="C13" s="11"/>
      <c r="D13" s="11"/>
      <c r="E13" s="231"/>
      <c r="F13" s="269"/>
      <c r="G13" s="92"/>
      <c r="H13" s="92"/>
      <c r="I13" s="92"/>
      <c r="J13" s="92"/>
    </row>
    <row r="14" spans="1:10" ht="12.75">
      <c r="A14" s="292"/>
      <c r="B14" s="11">
        <v>12</v>
      </c>
      <c r="C14" s="11"/>
      <c r="D14" s="11"/>
      <c r="E14" s="264" t="s">
        <v>43</v>
      </c>
      <c r="F14" s="269"/>
      <c r="G14" s="93">
        <f>SUM(G7:G13)</f>
        <v>9316</v>
      </c>
      <c r="H14" s="93">
        <f>SUM(H7:H13)</f>
        <v>11159</v>
      </c>
      <c r="I14" s="93">
        <f>SUM(I7:I13)</f>
        <v>11215</v>
      </c>
      <c r="J14" s="93">
        <f>SUM(J7:J13)</f>
        <v>11278</v>
      </c>
    </row>
    <row r="15" spans="1:10" ht="12.75">
      <c r="A15" s="292"/>
      <c r="B15" s="11">
        <v>13</v>
      </c>
      <c r="C15" s="11"/>
      <c r="D15" s="11">
        <v>3319</v>
      </c>
      <c r="E15" s="231" t="s">
        <v>202</v>
      </c>
      <c r="F15" s="269"/>
      <c r="G15" s="90">
        <v>45</v>
      </c>
      <c r="H15" s="90">
        <v>45</v>
      </c>
      <c r="I15" s="90">
        <v>45</v>
      </c>
      <c r="J15" s="90">
        <v>45</v>
      </c>
    </row>
    <row r="16" spans="1:10" ht="12.75">
      <c r="A16" s="292"/>
      <c r="B16" s="11">
        <v>14</v>
      </c>
      <c r="C16" s="11"/>
      <c r="D16" s="11">
        <v>3319</v>
      </c>
      <c r="E16" s="231" t="s">
        <v>203</v>
      </c>
      <c r="F16" s="269"/>
      <c r="G16" s="90">
        <v>800</v>
      </c>
      <c r="H16" s="90">
        <v>800</v>
      </c>
      <c r="I16" s="90">
        <v>800</v>
      </c>
      <c r="J16" s="90">
        <v>800</v>
      </c>
    </row>
    <row r="17" spans="1:10" ht="12.75">
      <c r="A17" s="292"/>
      <c r="B17" s="11">
        <v>15</v>
      </c>
      <c r="C17" s="11"/>
      <c r="D17" s="11">
        <v>3349</v>
      </c>
      <c r="E17" s="231" t="s">
        <v>12</v>
      </c>
      <c r="F17" s="269"/>
      <c r="G17" s="90">
        <v>300</v>
      </c>
      <c r="H17" s="90">
        <v>300</v>
      </c>
      <c r="I17" s="90">
        <v>300</v>
      </c>
      <c r="J17" s="90">
        <v>300</v>
      </c>
    </row>
    <row r="18" spans="1:10" ht="12.75">
      <c r="A18" s="292"/>
      <c r="B18" s="123">
        <v>16</v>
      </c>
      <c r="C18" s="13"/>
      <c r="D18" s="123" t="s">
        <v>228</v>
      </c>
      <c r="E18" s="231" t="s">
        <v>216</v>
      </c>
      <c r="F18" s="269"/>
      <c r="G18" s="90">
        <f>6197-550</f>
        <v>5647</v>
      </c>
      <c r="H18" s="152">
        <f>5709+150+70</f>
        <v>5929</v>
      </c>
      <c r="I18" s="152">
        <f>5709+150+70</f>
        <v>5929</v>
      </c>
      <c r="J18" s="152">
        <f>5709+150+70</f>
        <v>5929</v>
      </c>
    </row>
    <row r="19" spans="1:10" ht="12.75">
      <c r="A19" s="292"/>
      <c r="B19" s="11">
        <v>17</v>
      </c>
      <c r="C19" s="11"/>
      <c r="D19" s="11">
        <v>3399</v>
      </c>
      <c r="E19" s="231" t="s">
        <v>109</v>
      </c>
      <c r="F19" s="269"/>
      <c r="G19" s="90">
        <v>110</v>
      </c>
      <c r="H19" s="152">
        <v>120</v>
      </c>
      <c r="I19" s="152">
        <v>120</v>
      </c>
      <c r="J19" s="152">
        <v>120</v>
      </c>
    </row>
    <row r="20" spans="1:10" ht="12.75">
      <c r="A20" s="292"/>
      <c r="B20" s="11">
        <v>18</v>
      </c>
      <c r="C20" s="11"/>
      <c r="D20" s="11" t="s">
        <v>76</v>
      </c>
      <c r="E20" s="231" t="s">
        <v>105</v>
      </c>
      <c r="F20" s="269"/>
      <c r="G20" s="91">
        <f>50+50</f>
        <v>100</v>
      </c>
      <c r="H20" s="90">
        <f>50+50</f>
        <v>100</v>
      </c>
      <c r="I20" s="90">
        <f>50+50</f>
        <v>100</v>
      </c>
      <c r="J20" s="90">
        <f>50+50</f>
        <v>100</v>
      </c>
    </row>
    <row r="21" spans="1:10" ht="12.75">
      <c r="A21" s="292"/>
      <c r="B21" s="84">
        <v>19</v>
      </c>
      <c r="C21" s="11"/>
      <c r="D21" s="11" t="s">
        <v>76</v>
      </c>
      <c r="E21" s="82" t="s">
        <v>106</v>
      </c>
      <c r="F21" s="120"/>
      <c r="G21" s="91">
        <f>50+210</f>
        <v>260</v>
      </c>
      <c r="H21" s="148">
        <f>145+100</f>
        <v>245</v>
      </c>
      <c r="I21" s="152">
        <f>145+100</f>
        <v>245</v>
      </c>
      <c r="J21" s="152">
        <f>145+100</f>
        <v>245</v>
      </c>
    </row>
    <row r="22" spans="1:10" ht="12.75">
      <c r="A22" s="292"/>
      <c r="B22" s="11">
        <v>20</v>
      </c>
      <c r="C22" s="11"/>
      <c r="D22" s="11"/>
      <c r="E22" s="264" t="s">
        <v>44</v>
      </c>
      <c r="F22" s="269"/>
      <c r="G22" s="93">
        <f>SUM(G15:G21)</f>
        <v>7262</v>
      </c>
      <c r="H22" s="93">
        <f>SUM(H15:H21)</f>
        <v>7539</v>
      </c>
      <c r="I22" s="93">
        <f>SUM(I15:I21)</f>
        <v>7539</v>
      </c>
      <c r="J22" s="93">
        <f>SUM(J15:J21)</f>
        <v>7539</v>
      </c>
    </row>
    <row r="23" spans="1:10" ht="12.75">
      <c r="A23" s="292"/>
      <c r="B23" s="11">
        <v>21</v>
      </c>
      <c r="C23" s="11"/>
      <c r="D23" s="11"/>
      <c r="E23" s="268"/>
      <c r="F23" s="269"/>
      <c r="G23" s="90"/>
      <c r="H23" s="90"/>
      <c r="I23" s="90"/>
      <c r="J23" s="90"/>
    </row>
    <row r="24" spans="1:10" ht="12.75">
      <c r="A24" s="292"/>
      <c r="B24" s="11">
        <v>22</v>
      </c>
      <c r="C24" s="11"/>
      <c r="D24" s="9">
        <v>6223</v>
      </c>
      <c r="E24" s="268" t="s">
        <v>102</v>
      </c>
      <c r="F24" s="269"/>
      <c r="G24" s="90">
        <v>400</v>
      </c>
      <c r="H24" s="90">
        <v>400</v>
      </c>
      <c r="I24" s="90">
        <v>400</v>
      </c>
      <c r="J24" s="90">
        <v>400</v>
      </c>
    </row>
    <row r="25" spans="1:10" ht="12.75">
      <c r="A25" s="292"/>
      <c r="B25" s="154">
        <v>23</v>
      </c>
      <c r="C25" s="154">
        <v>5229</v>
      </c>
      <c r="D25" s="154">
        <v>3419</v>
      </c>
      <c r="E25" s="279" t="s">
        <v>230</v>
      </c>
      <c r="F25" s="280"/>
      <c r="G25" s="152">
        <v>0</v>
      </c>
      <c r="H25" s="152">
        <v>0</v>
      </c>
      <c r="I25" s="152">
        <v>200</v>
      </c>
      <c r="J25" s="152">
        <v>200</v>
      </c>
    </row>
    <row r="26" spans="1:10" ht="12.75">
      <c r="A26" s="292"/>
      <c r="B26" s="11">
        <v>24</v>
      </c>
      <c r="C26" s="11">
        <v>5229</v>
      </c>
      <c r="D26" s="9">
        <v>3419</v>
      </c>
      <c r="E26" s="268" t="s">
        <v>217</v>
      </c>
      <c r="F26" s="269"/>
      <c r="G26" s="91">
        <f>100+100</f>
        <v>200</v>
      </c>
      <c r="H26" s="148">
        <f>400-200</f>
        <v>200</v>
      </c>
      <c r="I26" s="152">
        <f>400-200</f>
        <v>200</v>
      </c>
      <c r="J26" s="152">
        <f>400-200</f>
        <v>200</v>
      </c>
    </row>
    <row r="27" spans="1:10" ht="12.75">
      <c r="A27" s="292"/>
      <c r="B27" s="271">
        <v>25</v>
      </c>
      <c r="C27" s="273" t="s">
        <v>218</v>
      </c>
      <c r="D27" s="275" t="s">
        <v>219</v>
      </c>
      <c r="E27" s="277" t="s">
        <v>100</v>
      </c>
      <c r="F27" s="26" t="s">
        <v>99</v>
      </c>
      <c r="G27" s="91">
        <f>400+100</f>
        <v>500</v>
      </c>
      <c r="H27" s="148">
        <f>500+200</f>
        <v>700</v>
      </c>
      <c r="I27" s="152">
        <f>500+200</f>
        <v>700</v>
      </c>
      <c r="J27" s="152">
        <f>500+200</f>
        <v>700</v>
      </c>
    </row>
    <row r="28" spans="1:10" ht="22.5" customHeight="1">
      <c r="A28" s="292"/>
      <c r="B28" s="272"/>
      <c r="C28" s="274"/>
      <c r="D28" s="276"/>
      <c r="E28" s="278"/>
      <c r="F28" s="122" t="s">
        <v>134</v>
      </c>
      <c r="G28" s="94">
        <v>200</v>
      </c>
      <c r="H28" s="197">
        <f>200</f>
        <v>200</v>
      </c>
      <c r="I28" s="197">
        <f>200</f>
        <v>200</v>
      </c>
      <c r="J28" s="197">
        <f>200</f>
        <v>200</v>
      </c>
    </row>
    <row r="29" spans="1:10" ht="12.75">
      <c r="A29" s="292"/>
      <c r="B29" s="9">
        <v>26</v>
      </c>
      <c r="C29" s="11"/>
      <c r="D29" s="39"/>
      <c r="E29" s="264" t="s">
        <v>90</v>
      </c>
      <c r="F29" s="269"/>
      <c r="G29" s="93">
        <f>SUM(G23:G28)</f>
        <v>1300</v>
      </c>
      <c r="H29" s="93">
        <f>SUM(H23:H28)</f>
        <v>1500</v>
      </c>
      <c r="I29" s="93">
        <f>SUM(I23:I28)</f>
        <v>1700</v>
      </c>
      <c r="J29" s="93">
        <f>SUM(J23:J28)</f>
        <v>1700</v>
      </c>
    </row>
    <row r="30" spans="1:10" ht="12.75">
      <c r="A30" s="292"/>
      <c r="B30" s="11">
        <v>27</v>
      </c>
      <c r="C30" s="11">
        <v>5023</v>
      </c>
      <c r="D30" s="11">
        <v>6112</v>
      </c>
      <c r="E30" s="2" t="s">
        <v>77</v>
      </c>
      <c r="F30" s="44"/>
      <c r="G30" s="94">
        <v>1660</v>
      </c>
      <c r="H30" s="94">
        <v>1660</v>
      </c>
      <c r="I30" s="94">
        <v>1660</v>
      </c>
      <c r="J30" s="94">
        <v>1660</v>
      </c>
    </row>
    <row r="31" spans="1:10" ht="12.75">
      <c r="A31" s="292"/>
      <c r="B31" s="11">
        <v>28</v>
      </c>
      <c r="C31" s="11">
        <v>5023</v>
      </c>
      <c r="D31" s="11">
        <v>6112</v>
      </c>
      <c r="E31" s="231" t="s">
        <v>45</v>
      </c>
      <c r="F31" s="269"/>
      <c r="G31" s="94">
        <v>370</v>
      </c>
      <c r="H31" s="185">
        <f>370+120</f>
        <v>490</v>
      </c>
      <c r="I31" s="197">
        <f>370+120</f>
        <v>490</v>
      </c>
      <c r="J31" s="197">
        <f>370+120</f>
        <v>490</v>
      </c>
    </row>
    <row r="32" spans="1:10" ht="12.75">
      <c r="A32" s="292"/>
      <c r="B32" s="11">
        <v>29</v>
      </c>
      <c r="C32" s="11">
        <v>5023</v>
      </c>
      <c r="D32" s="11">
        <v>6112</v>
      </c>
      <c r="E32" s="231" t="s">
        <v>81</v>
      </c>
      <c r="F32" s="269"/>
      <c r="G32" s="94">
        <v>90</v>
      </c>
      <c r="H32" s="185">
        <v>70</v>
      </c>
      <c r="I32" s="197">
        <v>70</v>
      </c>
      <c r="J32" s="197">
        <v>70</v>
      </c>
    </row>
    <row r="33" spans="1:10" ht="12.75">
      <c r="A33" s="292"/>
      <c r="B33" s="11">
        <v>30</v>
      </c>
      <c r="C33" s="11">
        <v>5492</v>
      </c>
      <c r="D33" s="11">
        <v>6112.71</v>
      </c>
      <c r="E33" s="231" t="s">
        <v>126</v>
      </c>
      <c r="F33" s="269"/>
      <c r="G33" s="90">
        <v>120</v>
      </c>
      <c r="H33" s="90">
        <v>120</v>
      </c>
      <c r="I33" s="90">
        <v>120</v>
      </c>
      <c r="J33" s="90">
        <v>120</v>
      </c>
    </row>
    <row r="34" spans="1:10" ht="12.75">
      <c r="A34" s="292"/>
      <c r="B34" s="11">
        <v>31</v>
      </c>
      <c r="C34" s="11"/>
      <c r="D34" s="154">
        <v>6115</v>
      </c>
      <c r="E34" s="279" t="s">
        <v>244</v>
      </c>
      <c r="F34" s="280"/>
      <c r="G34" s="90">
        <v>0</v>
      </c>
      <c r="H34" s="152">
        <v>0</v>
      </c>
      <c r="I34" s="148">
        <v>130</v>
      </c>
      <c r="J34" s="152">
        <v>130</v>
      </c>
    </row>
    <row r="35" spans="1:10" ht="12.75">
      <c r="A35" s="292"/>
      <c r="B35" s="11">
        <v>32</v>
      </c>
      <c r="C35" s="11"/>
      <c r="D35" s="11">
        <v>6117</v>
      </c>
      <c r="E35" s="231" t="s">
        <v>155</v>
      </c>
      <c r="F35" s="269"/>
      <c r="G35" s="90">
        <v>0</v>
      </c>
      <c r="H35" s="90">
        <v>0</v>
      </c>
      <c r="I35" s="90">
        <v>0</v>
      </c>
      <c r="J35" s="90">
        <v>0</v>
      </c>
    </row>
    <row r="36" spans="1:10" ht="12.75">
      <c r="A36" s="292"/>
      <c r="B36" s="11">
        <v>33</v>
      </c>
      <c r="C36" s="11"/>
      <c r="D36" s="11">
        <v>6171</v>
      </c>
      <c r="E36" s="231" t="s">
        <v>84</v>
      </c>
      <c r="F36" s="269"/>
      <c r="G36" s="90">
        <v>16664</v>
      </c>
      <c r="H36" s="152">
        <f>16664+450+1105-60</f>
        <v>18159</v>
      </c>
      <c r="I36" s="152">
        <f>16664+450+1105-60</f>
        <v>18159</v>
      </c>
      <c r="J36" s="152">
        <f>16664+450+1105-60</f>
        <v>18159</v>
      </c>
    </row>
    <row r="37" spans="1:10" ht="12.75">
      <c r="A37" s="292"/>
      <c r="B37" s="9">
        <v>34</v>
      </c>
      <c r="C37" s="11"/>
      <c r="D37" s="11">
        <v>6171</v>
      </c>
      <c r="E37" s="231" t="s">
        <v>46</v>
      </c>
      <c r="F37" s="269"/>
      <c r="G37" s="90">
        <v>250</v>
      </c>
      <c r="H37" s="90">
        <v>250</v>
      </c>
      <c r="I37" s="90">
        <v>250</v>
      </c>
      <c r="J37" s="90">
        <v>250</v>
      </c>
    </row>
    <row r="38" spans="1:10" ht="12.75">
      <c r="A38" s="292"/>
      <c r="B38" s="11">
        <v>35</v>
      </c>
      <c r="C38" s="11"/>
      <c r="D38" s="11">
        <v>6399</v>
      </c>
      <c r="E38" s="231" t="s">
        <v>132</v>
      </c>
      <c r="F38" s="269"/>
      <c r="G38" s="90">
        <v>3000</v>
      </c>
      <c r="H38" s="152">
        <v>2555</v>
      </c>
      <c r="I38" s="152">
        <f>2555-409</f>
        <v>2146</v>
      </c>
      <c r="J38" s="152">
        <f>2555-409</f>
        <v>2146</v>
      </c>
    </row>
    <row r="39" spans="1:10" ht="12.75">
      <c r="A39" s="292"/>
      <c r="B39" s="11">
        <v>36</v>
      </c>
      <c r="C39" s="11"/>
      <c r="D39" s="11">
        <v>6171</v>
      </c>
      <c r="E39" s="231" t="s">
        <v>47</v>
      </c>
      <c r="F39" s="269"/>
      <c r="G39" s="90">
        <v>100</v>
      </c>
      <c r="H39" s="152">
        <v>100</v>
      </c>
      <c r="I39" s="152">
        <v>100</v>
      </c>
      <c r="J39" s="152">
        <v>100</v>
      </c>
    </row>
    <row r="40" spans="1:10" ht="12.75">
      <c r="A40" s="292"/>
      <c r="B40" s="11">
        <v>37</v>
      </c>
      <c r="C40" s="11"/>
      <c r="D40" s="11">
        <v>6310</v>
      </c>
      <c r="E40" s="231" t="s">
        <v>48</v>
      </c>
      <c r="F40" s="269"/>
      <c r="G40" s="90">
        <v>415</v>
      </c>
      <c r="H40" s="152">
        <v>172</v>
      </c>
      <c r="I40" s="152">
        <v>172</v>
      </c>
      <c r="J40" s="152">
        <v>172</v>
      </c>
    </row>
    <row r="41" spans="1:10" ht="12.75">
      <c r="A41" s="292"/>
      <c r="B41" s="11">
        <v>38</v>
      </c>
      <c r="C41" s="11"/>
      <c r="D41" s="11">
        <v>6402</v>
      </c>
      <c r="E41" s="231" t="s">
        <v>68</v>
      </c>
      <c r="F41" s="269"/>
      <c r="G41" s="90">
        <v>0</v>
      </c>
      <c r="H41" s="90">
        <v>0</v>
      </c>
      <c r="I41" s="90">
        <v>0</v>
      </c>
      <c r="J41" s="90">
        <v>0</v>
      </c>
    </row>
    <row r="42" spans="1:10" ht="12.75">
      <c r="A42" s="292"/>
      <c r="B42" s="11">
        <v>39</v>
      </c>
      <c r="C42" s="11" t="s">
        <v>75</v>
      </c>
      <c r="D42" s="11">
        <v>6409</v>
      </c>
      <c r="E42" s="231" t="s">
        <v>147</v>
      </c>
      <c r="F42" s="269"/>
      <c r="G42" s="90">
        <v>120</v>
      </c>
      <c r="H42" s="90">
        <v>120</v>
      </c>
      <c r="I42" s="152">
        <f>120+150</f>
        <v>270</v>
      </c>
      <c r="J42" s="152">
        <f>120+150</f>
        <v>270</v>
      </c>
    </row>
    <row r="43" spans="1:10" ht="12.75">
      <c r="A43" s="292"/>
      <c r="B43" s="9">
        <v>40</v>
      </c>
      <c r="C43" s="11"/>
      <c r="D43" s="11"/>
      <c r="E43" s="264" t="s">
        <v>49</v>
      </c>
      <c r="F43" s="269"/>
      <c r="G43" s="93">
        <f>SUM(G30:G42)</f>
        <v>22789</v>
      </c>
      <c r="H43" s="93">
        <f>SUM(H30:H42)</f>
        <v>23696</v>
      </c>
      <c r="I43" s="93">
        <f>SUM(I30:I42)</f>
        <v>23567</v>
      </c>
      <c r="J43" s="93">
        <f>SUM(J30:J42)</f>
        <v>23567</v>
      </c>
    </row>
    <row r="44" spans="1:10" ht="12.75">
      <c r="A44" s="292"/>
      <c r="B44" s="11">
        <v>41</v>
      </c>
      <c r="C44" s="11"/>
      <c r="D44" s="11">
        <v>5512</v>
      </c>
      <c r="E44" s="231" t="s">
        <v>139</v>
      </c>
      <c r="F44" s="269"/>
      <c r="G44" s="90">
        <v>549</v>
      </c>
      <c r="H44" s="152">
        <v>614</v>
      </c>
      <c r="I44" s="152">
        <v>614</v>
      </c>
      <c r="J44" s="148">
        <f>614+75</f>
        <v>689</v>
      </c>
    </row>
    <row r="45" spans="1:10" ht="12.75">
      <c r="A45" s="292"/>
      <c r="B45" s="11">
        <v>42</v>
      </c>
      <c r="C45" s="11"/>
      <c r="D45" s="11">
        <v>5521</v>
      </c>
      <c r="E45" s="231" t="s">
        <v>50</v>
      </c>
      <c r="F45" s="269"/>
      <c r="G45" s="92"/>
      <c r="H45" s="92"/>
      <c r="I45" s="92"/>
      <c r="J45" s="92"/>
    </row>
    <row r="46" spans="1:10" ht="12.75">
      <c r="A46" s="292"/>
      <c r="B46" s="11">
        <v>43</v>
      </c>
      <c r="C46" s="11"/>
      <c r="D46" s="11"/>
      <c r="E46" s="264" t="s">
        <v>51</v>
      </c>
      <c r="F46" s="269"/>
      <c r="G46" s="93">
        <f>SUM(G44:G45)</f>
        <v>549</v>
      </c>
      <c r="H46" s="93">
        <f>SUM(H44:H45)</f>
        <v>614</v>
      </c>
      <c r="I46" s="93">
        <f>SUM(I44:I45)</f>
        <v>614</v>
      </c>
      <c r="J46" s="93">
        <f>SUM(J44:J45)</f>
        <v>689</v>
      </c>
    </row>
    <row r="47" spans="1:10" ht="12.75">
      <c r="A47" s="292"/>
      <c r="B47" s="11">
        <v>44</v>
      </c>
      <c r="C47" s="11"/>
      <c r="D47" s="11">
        <v>5311</v>
      </c>
      <c r="E47" s="231" t="s">
        <v>52</v>
      </c>
      <c r="F47" s="269"/>
      <c r="G47" s="90">
        <v>2596</v>
      </c>
      <c r="H47" s="152">
        <v>3150</v>
      </c>
      <c r="I47" s="152">
        <v>3150</v>
      </c>
      <c r="J47" s="152">
        <v>3150</v>
      </c>
    </row>
    <row r="48" spans="1:10" ht="12.75">
      <c r="A48" s="292"/>
      <c r="B48" s="11">
        <v>45</v>
      </c>
      <c r="C48" s="11"/>
      <c r="D48" s="11"/>
      <c r="E48" s="264" t="s">
        <v>53</v>
      </c>
      <c r="F48" s="269"/>
      <c r="G48" s="93">
        <f>SUM(G47)</f>
        <v>2596</v>
      </c>
      <c r="H48" s="93">
        <f>SUM(H47)</f>
        <v>3150</v>
      </c>
      <c r="I48" s="93">
        <f>SUM(I47)</f>
        <v>3150</v>
      </c>
      <c r="J48" s="93">
        <f>SUM(J47)</f>
        <v>3150</v>
      </c>
    </row>
    <row r="49" spans="1:10" ht="12.75">
      <c r="A49" s="292"/>
      <c r="B49" s="11">
        <v>46</v>
      </c>
      <c r="C49" s="11"/>
      <c r="D49" s="11"/>
      <c r="E49" s="268"/>
      <c r="F49" s="269"/>
      <c r="G49" s="119"/>
      <c r="H49" s="119"/>
      <c r="I49" s="119"/>
      <c r="J49" s="119"/>
    </row>
    <row r="50" spans="1:10" ht="12.75">
      <c r="A50" s="292"/>
      <c r="B50" s="11">
        <v>47</v>
      </c>
      <c r="C50" s="11" t="s">
        <v>75</v>
      </c>
      <c r="D50" s="76">
        <v>3399.4357</v>
      </c>
      <c r="E50" s="279" t="s">
        <v>241</v>
      </c>
      <c r="F50" s="280"/>
      <c r="G50" s="90">
        <v>0</v>
      </c>
      <c r="H50" s="152">
        <v>0</v>
      </c>
      <c r="I50" s="152">
        <f>50+31+60</f>
        <v>141</v>
      </c>
      <c r="J50" s="152">
        <f>50+31+60</f>
        <v>141</v>
      </c>
    </row>
    <row r="51" spans="1:10" ht="12.75">
      <c r="A51" s="292"/>
      <c r="B51" s="11">
        <v>48</v>
      </c>
      <c r="C51" s="11" t="s">
        <v>55</v>
      </c>
      <c r="D51" s="11">
        <v>4351.59</v>
      </c>
      <c r="E51" s="268" t="s">
        <v>125</v>
      </c>
      <c r="F51" s="269"/>
      <c r="G51" s="90">
        <v>1570</v>
      </c>
      <c r="H51" s="148">
        <f>1589+58</f>
        <v>1647</v>
      </c>
      <c r="I51" s="152">
        <f>1589+58</f>
        <v>1647</v>
      </c>
      <c r="J51" s="152">
        <f>1589+58</f>
        <v>1647</v>
      </c>
    </row>
    <row r="52" spans="1:10" ht="12.75">
      <c r="A52" s="292"/>
      <c r="B52" s="11">
        <v>49</v>
      </c>
      <c r="C52" s="11"/>
      <c r="D52" s="11"/>
      <c r="E52" s="264" t="s">
        <v>54</v>
      </c>
      <c r="F52" s="269"/>
      <c r="G52" s="93">
        <f>SUM(G49:G51)</f>
        <v>1570</v>
      </c>
      <c r="H52" s="93">
        <f>SUM(H49:H51)</f>
        <v>1647</v>
      </c>
      <c r="I52" s="93">
        <f>SUM(I49:I51)</f>
        <v>1788</v>
      </c>
      <c r="J52" s="93">
        <f>SUM(J49:J51)</f>
        <v>1788</v>
      </c>
    </row>
    <row r="53" spans="1:10" ht="12.75">
      <c r="A53" s="292"/>
      <c r="B53" s="11">
        <v>50</v>
      </c>
      <c r="C53" s="11"/>
      <c r="D53" s="76"/>
      <c r="E53" s="268"/>
      <c r="F53" s="270"/>
      <c r="G53" s="90"/>
      <c r="H53" s="90"/>
      <c r="I53" s="90"/>
      <c r="J53" s="90"/>
    </row>
    <row r="54" spans="1:10" ht="12.75">
      <c r="A54" s="292"/>
      <c r="B54" s="11">
        <v>51</v>
      </c>
      <c r="C54" s="11">
        <v>5901</v>
      </c>
      <c r="D54" s="11">
        <v>5212</v>
      </c>
      <c r="E54" s="268" t="s">
        <v>131</v>
      </c>
      <c r="F54" s="269"/>
      <c r="G54" s="90">
        <v>100</v>
      </c>
      <c r="H54" s="152">
        <v>1000</v>
      </c>
      <c r="I54" s="152">
        <v>1000</v>
      </c>
      <c r="J54" s="152">
        <v>1000</v>
      </c>
    </row>
    <row r="55" spans="1:10" ht="12.75">
      <c r="A55" s="292"/>
      <c r="B55" s="11">
        <v>52</v>
      </c>
      <c r="C55" s="76">
        <v>5169.5171</v>
      </c>
      <c r="D55" s="11" t="s">
        <v>55</v>
      </c>
      <c r="E55" s="268" t="s">
        <v>146</v>
      </c>
      <c r="F55" s="270"/>
      <c r="G55" s="90">
        <v>0</v>
      </c>
      <c r="H55" s="90">
        <v>0</v>
      </c>
      <c r="I55" s="90">
        <v>0</v>
      </c>
      <c r="J55" s="90">
        <v>0</v>
      </c>
    </row>
    <row r="56" spans="1:10" ht="12.75">
      <c r="A56" s="292"/>
      <c r="B56" s="11">
        <v>53</v>
      </c>
      <c r="C56" s="11" t="s">
        <v>55</v>
      </c>
      <c r="D56" s="11">
        <v>3639</v>
      </c>
      <c r="E56" s="268" t="s">
        <v>143</v>
      </c>
      <c r="F56" s="270"/>
      <c r="G56" s="90">
        <v>0</v>
      </c>
      <c r="H56" s="90">
        <v>0</v>
      </c>
      <c r="I56" s="90">
        <v>0</v>
      </c>
      <c r="J56" s="90">
        <v>0</v>
      </c>
    </row>
    <row r="57" spans="1:10" ht="12.75">
      <c r="A57" s="292"/>
      <c r="B57" s="11">
        <v>54</v>
      </c>
      <c r="C57" s="11"/>
      <c r="D57" s="11"/>
      <c r="E57" s="264" t="s">
        <v>119</v>
      </c>
      <c r="F57" s="269"/>
      <c r="G57" s="93">
        <f>G53+G55+G56+G54</f>
        <v>100</v>
      </c>
      <c r="H57" s="93">
        <f>H53+H55+H56+H54</f>
        <v>1000</v>
      </c>
      <c r="I57" s="93">
        <f>I53+I55+I56+I54</f>
        <v>1000</v>
      </c>
      <c r="J57" s="93">
        <f>J53+J55+J56+J54</f>
        <v>1000</v>
      </c>
    </row>
    <row r="58" spans="1:10" ht="12.75">
      <c r="A58" s="292"/>
      <c r="B58" s="11">
        <v>55</v>
      </c>
      <c r="C58" s="11"/>
      <c r="D58" s="11" t="s">
        <v>55</v>
      </c>
      <c r="E58" s="268" t="s">
        <v>159</v>
      </c>
      <c r="F58" s="269"/>
      <c r="G58" s="90">
        <f>800</f>
        <v>800</v>
      </c>
      <c r="H58" s="90">
        <f>800</f>
        <v>800</v>
      </c>
      <c r="I58" s="152">
        <f>800-800</f>
        <v>0</v>
      </c>
      <c r="J58" s="152">
        <f>800-800</f>
        <v>0</v>
      </c>
    </row>
    <row r="59" spans="1:10" ht="12.75">
      <c r="A59" s="292"/>
      <c r="B59" s="11">
        <v>56</v>
      </c>
      <c r="C59" s="11"/>
      <c r="D59" s="154">
        <v>3631</v>
      </c>
      <c r="E59" s="309" t="s">
        <v>234</v>
      </c>
      <c r="F59" s="310"/>
      <c r="G59" s="90">
        <v>0</v>
      </c>
      <c r="H59" s="90">
        <v>0</v>
      </c>
      <c r="I59" s="152">
        <v>2000</v>
      </c>
      <c r="J59" s="152">
        <v>2000</v>
      </c>
    </row>
    <row r="60" spans="1:10" ht="12.75">
      <c r="A60" s="292"/>
      <c r="B60" s="84">
        <v>57</v>
      </c>
      <c r="C60" s="11"/>
      <c r="D60" s="154" t="s">
        <v>174</v>
      </c>
      <c r="E60" s="80" t="s">
        <v>157</v>
      </c>
      <c r="F60" s="121"/>
      <c r="G60" s="90">
        <v>0</v>
      </c>
      <c r="H60" s="152">
        <v>0</v>
      </c>
      <c r="I60" s="152">
        <f>47</f>
        <v>47</v>
      </c>
      <c r="J60" s="148">
        <f>47+90</f>
        <v>137</v>
      </c>
    </row>
    <row r="61" spans="1:11" ht="12.75">
      <c r="A61" s="292"/>
      <c r="B61" s="11">
        <v>58</v>
      </c>
      <c r="C61" s="11"/>
      <c r="D61" s="11">
        <v>3612</v>
      </c>
      <c r="E61" s="294" t="s">
        <v>149</v>
      </c>
      <c r="F61" s="269"/>
      <c r="G61" s="91">
        <f>1500+300</f>
        <v>1800</v>
      </c>
      <c r="H61" s="152">
        <v>1500</v>
      </c>
      <c r="I61" s="148">
        <f>1500-390</f>
        <v>1110</v>
      </c>
      <c r="J61" s="148">
        <f>1500-390+788</f>
        <v>1898</v>
      </c>
      <c r="K61" s="139"/>
    </row>
    <row r="62" spans="1:15" ht="12.75">
      <c r="A62" s="292"/>
      <c r="B62" s="11">
        <v>59</v>
      </c>
      <c r="C62" s="11"/>
      <c r="D62" s="11">
        <v>3634</v>
      </c>
      <c r="E62" s="294" t="s">
        <v>148</v>
      </c>
      <c r="F62" s="269"/>
      <c r="G62" s="90">
        <v>1000</v>
      </c>
      <c r="H62" s="152">
        <v>1000</v>
      </c>
      <c r="I62" s="148">
        <f>1000+350</f>
        <v>1350</v>
      </c>
      <c r="J62" s="152">
        <f>1000+350</f>
        <v>1350</v>
      </c>
      <c r="K62" s="139"/>
      <c r="O62" s="158"/>
    </row>
    <row r="63" spans="1:11" ht="12.75">
      <c r="A63" s="292"/>
      <c r="B63" s="254">
        <v>60</v>
      </c>
      <c r="C63" s="256" t="s">
        <v>200</v>
      </c>
      <c r="D63" s="257"/>
      <c r="E63" s="181" t="s">
        <v>220</v>
      </c>
      <c r="F63" s="182"/>
      <c r="G63" s="262">
        <f>20000-1766</f>
        <v>18234</v>
      </c>
      <c r="H63" s="252">
        <f>21850-3399-1000-2000-370</f>
        <v>15081</v>
      </c>
      <c r="I63" s="252">
        <f>21850-3399-1000-2000-370-2000+(-24-19+450)</f>
        <v>13488</v>
      </c>
      <c r="J63" s="252">
        <f>21850-3399-1000-2000-370-2000+(-24-19+450)+725</f>
        <v>14213</v>
      </c>
      <c r="K63" s="139"/>
    </row>
    <row r="64" spans="1:11" ht="12.75">
      <c r="A64" s="292"/>
      <c r="B64" s="255"/>
      <c r="C64" s="258"/>
      <c r="D64" s="259"/>
      <c r="E64" s="260" t="s">
        <v>229</v>
      </c>
      <c r="F64" s="261"/>
      <c r="G64" s="263"/>
      <c r="H64" s="253"/>
      <c r="I64" s="253"/>
      <c r="J64" s="253"/>
      <c r="K64" s="139"/>
    </row>
    <row r="65" spans="1:11" ht="12.75">
      <c r="A65" s="292"/>
      <c r="B65" s="11">
        <v>61</v>
      </c>
      <c r="C65" s="12"/>
      <c r="D65" s="12">
        <v>3639</v>
      </c>
      <c r="E65" s="80" t="s">
        <v>150</v>
      </c>
      <c r="F65" s="121"/>
      <c r="G65" s="134">
        <v>2000</v>
      </c>
      <c r="H65" s="186">
        <v>4000</v>
      </c>
      <c r="I65" s="186">
        <v>4000</v>
      </c>
      <c r="J65" s="186">
        <v>4000</v>
      </c>
      <c r="K65" s="139"/>
    </row>
    <row r="66" spans="1:10" ht="12.75">
      <c r="A66" s="292"/>
      <c r="B66" s="11">
        <v>62</v>
      </c>
      <c r="C66" s="11"/>
      <c r="D66" s="11">
        <v>3612</v>
      </c>
      <c r="E66" s="294" t="s">
        <v>160</v>
      </c>
      <c r="F66" s="289"/>
      <c r="G66" s="171">
        <v>14952</v>
      </c>
      <c r="H66" s="246">
        <f>15340-2000+1162</f>
        <v>14502</v>
      </c>
      <c r="I66" s="246">
        <f>15340-2000+1162</f>
        <v>14502</v>
      </c>
      <c r="J66" s="246">
        <f>15340-2000+1162</f>
        <v>14502</v>
      </c>
    </row>
    <row r="67" spans="1:10" ht="12.75">
      <c r="A67" s="292"/>
      <c r="B67" s="11">
        <v>63</v>
      </c>
      <c r="C67" s="11"/>
      <c r="D67" s="11">
        <v>3612</v>
      </c>
      <c r="E67" s="80" t="s">
        <v>172</v>
      </c>
      <c r="F67" s="121"/>
      <c r="G67" s="172"/>
      <c r="H67" s="248"/>
      <c r="I67" s="248"/>
      <c r="J67" s="248"/>
    </row>
    <row r="68" spans="1:10" ht="12.75">
      <c r="A68" s="292"/>
      <c r="B68" s="11">
        <v>64</v>
      </c>
      <c r="C68" s="11"/>
      <c r="D68" s="11">
        <v>3669</v>
      </c>
      <c r="E68" s="268" t="s">
        <v>98</v>
      </c>
      <c r="F68" s="269"/>
      <c r="G68" s="90">
        <v>200</v>
      </c>
      <c r="H68" s="90">
        <v>200</v>
      </c>
      <c r="I68" s="90">
        <v>200</v>
      </c>
      <c r="J68" s="90">
        <v>200</v>
      </c>
    </row>
    <row r="69" spans="1:10" ht="12.75">
      <c r="A69" s="292"/>
      <c r="B69" s="11">
        <v>65</v>
      </c>
      <c r="C69" s="11"/>
      <c r="D69" s="11"/>
      <c r="E69" s="264" t="s">
        <v>62</v>
      </c>
      <c r="F69" s="269"/>
      <c r="G69" s="93">
        <f>SUM(G58:G68)</f>
        <v>38986</v>
      </c>
      <c r="H69" s="93">
        <f>SUM(H58:H68)</f>
        <v>37083</v>
      </c>
      <c r="I69" s="93">
        <f>SUM(I58:I68)</f>
        <v>36697</v>
      </c>
      <c r="J69" s="93">
        <f>SUM(J58:J68)</f>
        <v>38300</v>
      </c>
    </row>
    <row r="70" spans="1:10" ht="12.75">
      <c r="A70" s="292"/>
      <c r="B70" s="11">
        <v>66</v>
      </c>
      <c r="C70" s="11" t="s">
        <v>79</v>
      </c>
      <c r="D70" s="11">
        <v>6171</v>
      </c>
      <c r="E70" s="268" t="s">
        <v>80</v>
      </c>
      <c r="F70" s="269"/>
      <c r="G70" s="91">
        <f>370+130</f>
        <v>500</v>
      </c>
      <c r="H70" s="90">
        <f>370+130</f>
        <v>500</v>
      </c>
      <c r="I70" s="90">
        <f>370+130</f>
        <v>500</v>
      </c>
      <c r="J70" s="90">
        <f>370+130</f>
        <v>500</v>
      </c>
    </row>
    <row r="71" spans="1:10" ht="12.75">
      <c r="A71" s="292"/>
      <c r="B71" s="11">
        <v>67</v>
      </c>
      <c r="C71" s="11"/>
      <c r="D71" s="11"/>
      <c r="E71" s="264" t="s">
        <v>80</v>
      </c>
      <c r="F71" s="269"/>
      <c r="G71" s="95">
        <f>SUM(G70)</f>
        <v>500</v>
      </c>
      <c r="H71" s="95">
        <f>SUM(H70)</f>
        <v>500</v>
      </c>
      <c r="I71" s="95">
        <f>SUM(I70)</f>
        <v>500</v>
      </c>
      <c r="J71" s="95">
        <f>SUM(J70)</f>
        <v>500</v>
      </c>
    </row>
    <row r="72" spans="1:10" ht="12.75">
      <c r="A72" s="292"/>
      <c r="B72" s="11">
        <v>68</v>
      </c>
      <c r="C72" s="13">
        <v>5363</v>
      </c>
      <c r="D72" s="13">
        <v>6402</v>
      </c>
      <c r="E72" s="268" t="s">
        <v>173</v>
      </c>
      <c r="F72" s="269"/>
      <c r="G72" s="136">
        <v>0</v>
      </c>
      <c r="H72" s="156">
        <v>0</v>
      </c>
      <c r="I72" s="156">
        <v>0</v>
      </c>
      <c r="J72" s="156">
        <v>0</v>
      </c>
    </row>
    <row r="73" spans="1:10" ht="12.75">
      <c r="A73" s="292"/>
      <c r="B73" s="11">
        <v>69</v>
      </c>
      <c r="C73" s="13"/>
      <c r="D73" s="13"/>
      <c r="E73" s="264" t="s">
        <v>151</v>
      </c>
      <c r="F73" s="265"/>
      <c r="G73" s="135">
        <f>SUM(G72)</f>
        <v>0</v>
      </c>
      <c r="H73" s="135">
        <f>SUM(H72)</f>
        <v>0</v>
      </c>
      <c r="I73" s="135">
        <f>SUM(I72)</f>
        <v>0</v>
      </c>
      <c r="J73" s="135">
        <f>SUM(J72)</f>
        <v>0</v>
      </c>
    </row>
    <row r="74" spans="1:10" ht="13.5" thickBot="1">
      <c r="A74" s="293"/>
      <c r="B74" s="15">
        <v>70</v>
      </c>
      <c r="C74" s="15"/>
      <c r="D74" s="15"/>
      <c r="E74" s="266" t="s">
        <v>56</v>
      </c>
      <c r="F74" s="267"/>
      <c r="G74" s="96">
        <f>G4+G6+G14+G22+G29+G43+G46+G48+G52+G69+G71+G57+G73</f>
        <v>85828</v>
      </c>
      <c r="H74" s="96">
        <f>H4+H6+H14+H22+H29+H43+H46+H48+H52+H69+H71+H57+H73</f>
        <v>88698</v>
      </c>
      <c r="I74" s="96">
        <f>I4+I6+I14+I22+I29+I43+I46+I48+I52+I69+I71+I57+I73</f>
        <v>88645</v>
      </c>
      <c r="J74" s="96">
        <f>J4+J6+J14+J22+J29+J43+J46+J48+J52+J69+J71+J57+J73</f>
        <v>90386</v>
      </c>
    </row>
    <row r="75" spans="1:10" ht="12.75" customHeight="1">
      <c r="A75" s="225" t="s">
        <v>93</v>
      </c>
      <c r="B75" s="298">
        <v>71</v>
      </c>
      <c r="C75" s="300"/>
      <c r="D75" s="300"/>
      <c r="E75" s="303" t="s">
        <v>117</v>
      </c>
      <c r="F75" s="304"/>
      <c r="G75" s="314">
        <f>22920+570+9000+300+300</f>
        <v>33090</v>
      </c>
      <c r="H75" s="220">
        <f>31260+40000-1100+210+370</f>
        <v>70740</v>
      </c>
      <c r="I75" s="220">
        <f>31260+40000-1100+210+370+2881+1500+40+(901+390+24+49)</f>
        <v>76525</v>
      </c>
      <c r="J75" s="220">
        <f>31260+40000-1100+210+370+2881+1500+40+(901+390+24+49)+1352-75</f>
        <v>77802</v>
      </c>
    </row>
    <row r="76" spans="1:10" ht="12.75">
      <c r="A76" s="226"/>
      <c r="B76" s="299"/>
      <c r="C76" s="301"/>
      <c r="D76" s="301"/>
      <c r="E76" s="305"/>
      <c r="F76" s="306"/>
      <c r="G76" s="315"/>
      <c r="H76" s="312"/>
      <c r="I76" s="250"/>
      <c r="J76" s="250"/>
    </row>
    <row r="77" spans="1:10" ht="12.75">
      <c r="A77" s="226"/>
      <c r="B77" s="299"/>
      <c r="C77" s="301"/>
      <c r="D77" s="301"/>
      <c r="E77" s="305"/>
      <c r="F77" s="306"/>
      <c r="G77" s="315"/>
      <c r="H77" s="312"/>
      <c r="I77" s="250"/>
      <c r="J77" s="250"/>
    </row>
    <row r="78" spans="1:10" ht="12.75">
      <c r="A78" s="226"/>
      <c r="B78" s="299"/>
      <c r="C78" s="301"/>
      <c r="D78" s="301"/>
      <c r="E78" s="305"/>
      <c r="F78" s="306"/>
      <c r="G78" s="315"/>
      <c r="H78" s="312"/>
      <c r="I78" s="250"/>
      <c r="J78" s="250"/>
    </row>
    <row r="79" spans="1:10" ht="12.75">
      <c r="A79" s="226"/>
      <c r="B79" s="299"/>
      <c r="C79" s="301"/>
      <c r="D79" s="301"/>
      <c r="E79" s="305"/>
      <c r="F79" s="306"/>
      <c r="G79" s="315"/>
      <c r="H79" s="312"/>
      <c r="I79" s="250"/>
      <c r="J79" s="250"/>
    </row>
    <row r="80" spans="1:10" ht="12.75">
      <c r="A80" s="226"/>
      <c r="B80" s="299"/>
      <c r="C80" s="301"/>
      <c r="D80" s="301"/>
      <c r="E80" s="305"/>
      <c r="F80" s="306"/>
      <c r="G80" s="315"/>
      <c r="H80" s="312"/>
      <c r="I80" s="250"/>
      <c r="J80" s="250"/>
    </row>
    <row r="81" spans="1:10" ht="12.75">
      <c r="A81" s="226"/>
      <c r="B81" s="272"/>
      <c r="C81" s="302"/>
      <c r="D81" s="302"/>
      <c r="E81" s="307"/>
      <c r="F81" s="308"/>
      <c r="G81" s="316"/>
      <c r="H81" s="313"/>
      <c r="I81" s="251"/>
      <c r="J81" s="251"/>
    </row>
    <row r="82" spans="1:10" ht="12.75">
      <c r="A82" s="226"/>
      <c r="B82" s="11">
        <v>72</v>
      </c>
      <c r="C82" s="11"/>
      <c r="D82" s="11"/>
      <c r="E82" s="231"/>
      <c r="F82" s="269"/>
      <c r="G82" s="99"/>
      <c r="H82" s="99"/>
      <c r="I82" s="99"/>
      <c r="J82" s="99"/>
    </row>
    <row r="83" spans="1:10" ht="12.75">
      <c r="A83" s="226"/>
      <c r="B83" s="11">
        <v>73</v>
      </c>
      <c r="C83" s="11"/>
      <c r="D83" s="11"/>
      <c r="E83" s="231"/>
      <c r="F83" s="269"/>
      <c r="G83" s="99"/>
      <c r="H83" s="99"/>
      <c r="I83" s="99"/>
      <c r="J83" s="99"/>
    </row>
    <row r="84" spans="1:10" ht="13.5" thickBot="1">
      <c r="A84" s="290"/>
      <c r="B84" s="15">
        <v>74</v>
      </c>
      <c r="C84" s="15"/>
      <c r="D84" s="15"/>
      <c r="E84" s="297" t="s">
        <v>57</v>
      </c>
      <c r="F84" s="267"/>
      <c r="G84" s="97">
        <f>SUM(G75:G83)</f>
        <v>33090</v>
      </c>
      <c r="H84" s="97">
        <f>SUM(H75:H83)</f>
        <v>70740</v>
      </c>
      <c r="I84" s="97">
        <f>SUM(I75:I83)</f>
        <v>76525</v>
      </c>
      <c r="J84" s="97">
        <f>SUM(J75:J83)</f>
        <v>77802</v>
      </c>
    </row>
    <row r="85" spans="1:10" ht="13.5" thickBot="1">
      <c r="A85" s="56"/>
      <c r="B85" s="57">
        <v>75</v>
      </c>
      <c r="C85" s="57"/>
      <c r="D85" s="57"/>
      <c r="E85" s="295" t="s">
        <v>69</v>
      </c>
      <c r="F85" s="296"/>
      <c r="G85" s="98">
        <f>G74+G84</f>
        <v>118918</v>
      </c>
      <c r="H85" s="98">
        <f>H74+H84</f>
        <v>159438</v>
      </c>
      <c r="I85" s="98">
        <f>I74+I84</f>
        <v>165170</v>
      </c>
      <c r="J85" s="98">
        <f>J74+J84</f>
        <v>168188</v>
      </c>
    </row>
    <row r="86" ht="12.75">
      <c r="F86" s="70"/>
    </row>
    <row r="87" ht="12.75">
      <c r="F87" s="70" t="s">
        <v>96</v>
      </c>
    </row>
  </sheetData>
  <mergeCells count="94">
    <mergeCell ref="J75:J81"/>
    <mergeCell ref="F1:J1"/>
    <mergeCell ref="E29:F29"/>
    <mergeCell ref="E33:F33"/>
    <mergeCell ref="H75:H81"/>
    <mergeCell ref="E71:F71"/>
    <mergeCell ref="G75:G81"/>
    <mergeCell ref="E44:F44"/>
    <mergeCell ref="E46:F46"/>
    <mergeCell ref="E53:F53"/>
    <mergeCell ref="E58:F58"/>
    <mergeCell ref="E54:F54"/>
    <mergeCell ref="J66:J67"/>
    <mergeCell ref="E50:F50"/>
    <mergeCell ref="E56:F56"/>
    <mergeCell ref="E57:F57"/>
    <mergeCell ref="E59:F59"/>
    <mergeCell ref="E62:F62"/>
    <mergeCell ref="E61:F61"/>
    <mergeCell ref="H63:H64"/>
    <mergeCell ref="B75:B81"/>
    <mergeCell ref="C75:C81"/>
    <mergeCell ref="D75:D81"/>
    <mergeCell ref="E75:F81"/>
    <mergeCell ref="E85:F85"/>
    <mergeCell ref="E82:F82"/>
    <mergeCell ref="E84:F84"/>
    <mergeCell ref="E83:F83"/>
    <mergeCell ref="A75:A84"/>
    <mergeCell ref="A3:A74"/>
    <mergeCell ref="E16:F16"/>
    <mergeCell ref="E17:F17"/>
    <mergeCell ref="E18:F18"/>
    <mergeCell ref="E19:F19"/>
    <mergeCell ref="E20:F20"/>
    <mergeCell ref="E11:F11"/>
    <mergeCell ref="E66:F66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45:F45"/>
    <mergeCell ref="E34:F34"/>
    <mergeCell ref="E41:F41"/>
    <mergeCell ref="E38:F38"/>
    <mergeCell ref="E35:F35"/>
    <mergeCell ref="E39:F39"/>
    <mergeCell ref="E36:F36"/>
    <mergeCell ref="E37:F37"/>
    <mergeCell ref="B27:B28"/>
    <mergeCell ref="C27:C28"/>
    <mergeCell ref="D27:D28"/>
    <mergeCell ref="E27:E28"/>
    <mergeCell ref="E32:F32"/>
    <mergeCell ref="E47:F47"/>
    <mergeCell ref="E69:F69"/>
    <mergeCell ref="E49:F49"/>
    <mergeCell ref="E55:F55"/>
    <mergeCell ref="E52:F52"/>
    <mergeCell ref="E48:F48"/>
    <mergeCell ref="E51:F51"/>
    <mergeCell ref="E42:F42"/>
    <mergeCell ref="E43:F43"/>
    <mergeCell ref="E74:F74"/>
    <mergeCell ref="E72:F72"/>
    <mergeCell ref="E68:F68"/>
    <mergeCell ref="E70:F70"/>
    <mergeCell ref="I75:I81"/>
    <mergeCell ref="H66:H67"/>
    <mergeCell ref="J63:J64"/>
    <mergeCell ref="B63:B64"/>
    <mergeCell ref="C63:D64"/>
    <mergeCell ref="E64:F64"/>
    <mergeCell ref="G63:G64"/>
    <mergeCell ref="I63:I64"/>
    <mergeCell ref="I66:I67"/>
    <mergeCell ref="E73:F73"/>
  </mergeCells>
  <printOptions/>
  <pageMargins left="0.2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1"/>
  <sheetViews>
    <sheetView zoomScale="75" zoomScaleNormal="75" workbookViewId="0" topLeftCell="A1">
      <selection activeCell="D78" sqref="D7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  <col min="9" max="9" width="17.625" style="0" customWidth="1"/>
  </cols>
  <sheetData>
    <row r="2" spans="1:4" ht="15.75">
      <c r="A2" s="332" t="s">
        <v>249</v>
      </c>
      <c r="B2" s="332"/>
      <c r="C2" s="332"/>
      <c r="D2" s="332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249" t="s">
        <v>246</v>
      </c>
      <c r="F4" s="249"/>
      <c r="G4" s="249"/>
      <c r="H4" s="249"/>
    </row>
    <row r="5" spans="1:8" ht="24.75" thickBot="1">
      <c r="A5" s="23" t="s">
        <v>28</v>
      </c>
      <c r="B5" s="20" t="s">
        <v>1</v>
      </c>
      <c r="C5" s="20" t="s">
        <v>0</v>
      </c>
      <c r="D5" s="20" t="s">
        <v>2</v>
      </c>
      <c r="E5" s="105" t="s">
        <v>163</v>
      </c>
      <c r="F5" s="105" t="s">
        <v>222</v>
      </c>
      <c r="G5" s="105" t="s">
        <v>237</v>
      </c>
      <c r="H5" s="105" t="s">
        <v>247</v>
      </c>
    </row>
    <row r="6" spans="1:8" ht="12.75">
      <c r="A6" s="21">
        <v>1</v>
      </c>
      <c r="B6" s="14">
        <v>8115</v>
      </c>
      <c r="C6" s="14"/>
      <c r="D6" s="28" t="s">
        <v>88</v>
      </c>
      <c r="E6" s="138">
        <v>-330</v>
      </c>
      <c r="F6" s="202">
        <v>-230</v>
      </c>
      <c r="G6" s="202">
        <v>-230</v>
      </c>
      <c r="H6" s="202">
        <v>-230</v>
      </c>
    </row>
    <row r="7" spans="1:8" ht="12.75">
      <c r="A7" s="22">
        <v>2</v>
      </c>
      <c r="B7" s="11">
        <v>8115</v>
      </c>
      <c r="C7" s="11"/>
      <c r="D7" s="78" t="s">
        <v>74</v>
      </c>
      <c r="E7" s="54">
        <f>22000-3088-22+3810</f>
        <v>22700</v>
      </c>
      <c r="F7" s="150">
        <f>28000-5000+1571+17966</f>
        <v>42537</v>
      </c>
      <c r="G7" s="150">
        <f>28000-5000+1571+17966+1315+200-105-545</f>
        <v>43402</v>
      </c>
      <c r="H7" s="153">
        <f>28000-5000+1571+17966+1315+200-105-545</f>
        <v>43402</v>
      </c>
    </row>
    <row r="8" spans="1:8" ht="12.75">
      <c r="A8" s="22">
        <v>3</v>
      </c>
      <c r="B8" s="11">
        <v>8115</v>
      </c>
      <c r="C8" s="11"/>
      <c r="D8" s="2" t="s">
        <v>113</v>
      </c>
      <c r="E8" s="52">
        <v>3130</v>
      </c>
      <c r="F8" s="153">
        <v>3360</v>
      </c>
      <c r="G8" s="153">
        <v>3360</v>
      </c>
      <c r="H8" s="153">
        <v>3360</v>
      </c>
    </row>
    <row r="9" spans="1:8" ht="12.75">
      <c r="A9" s="22">
        <v>4</v>
      </c>
      <c r="B9" s="11">
        <v>8115</v>
      </c>
      <c r="C9" s="2"/>
      <c r="D9" s="2" t="s">
        <v>110</v>
      </c>
      <c r="E9" s="52">
        <v>0</v>
      </c>
      <c r="F9" s="174">
        <v>0</v>
      </c>
      <c r="G9" s="174">
        <v>0</v>
      </c>
      <c r="H9" s="174">
        <v>0</v>
      </c>
    </row>
    <row r="10" spans="1:8" s="75" customFormat="1" ht="12.75" customHeight="1">
      <c r="A10" s="71">
        <v>5</v>
      </c>
      <c r="B10" s="72">
        <v>8115</v>
      </c>
      <c r="C10" s="73"/>
      <c r="D10" s="74" t="s">
        <v>111</v>
      </c>
      <c r="E10" s="45">
        <v>0</v>
      </c>
      <c r="F10" s="175">
        <v>0</v>
      </c>
      <c r="G10" s="175">
        <v>0</v>
      </c>
      <c r="H10" s="175">
        <v>0</v>
      </c>
    </row>
    <row r="11" spans="1:8" ht="12.75">
      <c r="A11" s="22">
        <v>6</v>
      </c>
      <c r="B11" s="11">
        <v>8115</v>
      </c>
      <c r="C11" s="2"/>
      <c r="D11" s="4" t="s">
        <v>189</v>
      </c>
      <c r="E11" s="52">
        <v>-1200</v>
      </c>
      <c r="F11" s="153">
        <v>-350</v>
      </c>
      <c r="G11" s="150">
        <f>-350+350</f>
        <v>0</v>
      </c>
      <c r="H11" s="153">
        <f>-350+350</f>
        <v>0</v>
      </c>
    </row>
    <row r="12" spans="1:8" ht="12.75">
      <c r="A12" s="22">
        <v>7</v>
      </c>
      <c r="B12" s="11">
        <v>8115</v>
      </c>
      <c r="C12" s="2"/>
      <c r="D12" s="2" t="s">
        <v>135</v>
      </c>
      <c r="E12" s="52">
        <f>-400+400</f>
        <v>0</v>
      </c>
      <c r="F12" s="52">
        <v>0</v>
      </c>
      <c r="G12" s="52">
        <v>0</v>
      </c>
      <c r="H12" s="52">
        <v>0</v>
      </c>
    </row>
    <row r="13" spans="1:8" ht="12.75">
      <c r="A13" s="22">
        <v>8</v>
      </c>
      <c r="B13" s="11">
        <v>8115</v>
      </c>
      <c r="C13" s="2"/>
      <c r="D13" s="132" t="s">
        <v>236</v>
      </c>
      <c r="E13" s="142">
        <v>-14240</v>
      </c>
      <c r="F13" s="187">
        <f>-11740-11358</f>
        <v>-23098</v>
      </c>
      <c r="G13" s="210">
        <f>-11740-11358-1500</f>
        <v>-24598</v>
      </c>
      <c r="H13" s="210">
        <f>-11740-11358-1500</f>
        <v>-24598</v>
      </c>
    </row>
    <row r="14" spans="1:8" ht="12.75">
      <c r="A14" s="22">
        <v>9</v>
      </c>
      <c r="B14" s="11">
        <v>8115</v>
      </c>
      <c r="C14" s="2"/>
      <c r="D14" s="79" t="s">
        <v>201</v>
      </c>
      <c r="E14" s="54">
        <f>-410+300</f>
        <v>-110</v>
      </c>
      <c r="F14" s="150">
        <v>-788</v>
      </c>
      <c r="G14" s="153">
        <v>-788</v>
      </c>
      <c r="H14" s="150">
        <f>-788+788</f>
        <v>0</v>
      </c>
    </row>
    <row r="15" spans="1:8" ht="12.75">
      <c r="A15" s="22">
        <v>10</v>
      </c>
      <c r="B15" s="11">
        <v>8124</v>
      </c>
      <c r="C15" s="2"/>
      <c r="D15" s="2" t="s">
        <v>123</v>
      </c>
      <c r="E15" s="52">
        <v>-3245</v>
      </c>
      <c r="F15" s="174">
        <v>0</v>
      </c>
      <c r="G15" s="174">
        <v>0</v>
      </c>
      <c r="H15" s="174">
        <v>0</v>
      </c>
    </row>
    <row r="16" spans="1:8" ht="12.75">
      <c r="A16" s="22">
        <v>11</v>
      </c>
      <c r="B16" s="11">
        <v>8115</v>
      </c>
      <c r="C16" s="2"/>
      <c r="D16" s="2" t="s">
        <v>157</v>
      </c>
      <c r="E16" s="52">
        <v>-200</v>
      </c>
      <c r="F16" s="150">
        <v>-150</v>
      </c>
      <c r="G16" s="153">
        <f>-150+47</f>
        <v>-103</v>
      </c>
      <c r="H16" s="150">
        <f>-150+47+90</f>
        <v>-13</v>
      </c>
    </row>
    <row r="17" spans="1:8" ht="12.75">
      <c r="A17" s="22">
        <v>12</v>
      </c>
      <c r="B17" s="11">
        <v>8124</v>
      </c>
      <c r="C17" s="2"/>
      <c r="D17" s="2" t="s">
        <v>124</v>
      </c>
      <c r="E17" s="52">
        <v>-1061</v>
      </c>
      <c r="F17" s="174">
        <v>0</v>
      </c>
      <c r="G17" s="153">
        <v>0</v>
      </c>
      <c r="H17" s="153">
        <v>0</v>
      </c>
    </row>
    <row r="18" spans="1:8" ht="12.75">
      <c r="A18" s="22">
        <v>13</v>
      </c>
      <c r="B18" s="11">
        <v>8113</v>
      </c>
      <c r="C18" s="2"/>
      <c r="D18" s="2" t="s">
        <v>137</v>
      </c>
      <c r="E18" s="52">
        <v>0</v>
      </c>
      <c r="F18" s="174">
        <v>0</v>
      </c>
      <c r="G18" s="153">
        <v>0</v>
      </c>
      <c r="H18" s="153">
        <v>0</v>
      </c>
    </row>
    <row r="19" spans="1:8" ht="12.75">
      <c r="A19" s="22">
        <v>14</v>
      </c>
      <c r="B19" s="11">
        <v>8114</v>
      </c>
      <c r="C19" s="2"/>
      <c r="D19" s="2" t="s">
        <v>138</v>
      </c>
      <c r="E19" s="52">
        <v>0</v>
      </c>
      <c r="F19" s="174">
        <v>0</v>
      </c>
      <c r="G19" s="153">
        <v>0</v>
      </c>
      <c r="H19" s="153">
        <v>0</v>
      </c>
    </row>
    <row r="20" spans="1:8" ht="12.75">
      <c r="A20" s="22">
        <v>15</v>
      </c>
      <c r="B20" s="154">
        <v>8124</v>
      </c>
      <c r="C20" s="155"/>
      <c r="D20" s="155" t="s">
        <v>199</v>
      </c>
      <c r="E20" s="157">
        <v>0</v>
      </c>
      <c r="F20" s="153">
        <f>-3245-1061-1044</f>
        <v>-5350</v>
      </c>
      <c r="G20" s="153">
        <f>-3245-1061-1044</f>
        <v>-5350</v>
      </c>
      <c r="H20" s="153">
        <f>-3245-1061-1044</f>
        <v>-5350</v>
      </c>
    </row>
    <row r="21" spans="1:8" ht="12.75">
      <c r="A21" s="22">
        <v>16</v>
      </c>
      <c r="B21" s="154">
        <v>8124</v>
      </c>
      <c r="C21" s="155"/>
      <c r="D21" s="155" t="s">
        <v>115</v>
      </c>
      <c r="E21" s="52">
        <v>0</v>
      </c>
      <c r="F21" s="174">
        <v>0</v>
      </c>
      <c r="G21" s="153">
        <v>0</v>
      </c>
      <c r="H21" s="153">
        <v>0</v>
      </c>
    </row>
    <row r="22" spans="1:8" ht="12.75">
      <c r="A22" s="22">
        <v>17</v>
      </c>
      <c r="B22" s="154">
        <v>8124</v>
      </c>
      <c r="C22" s="155"/>
      <c r="D22" s="155" t="s">
        <v>122</v>
      </c>
      <c r="E22" s="52">
        <v>-1044</v>
      </c>
      <c r="F22" s="174">
        <v>0</v>
      </c>
      <c r="G22" s="153">
        <v>0</v>
      </c>
      <c r="H22" s="153">
        <v>0</v>
      </c>
    </row>
    <row r="23" spans="1:8" ht="12.75">
      <c r="A23" s="22">
        <v>18</v>
      </c>
      <c r="B23" s="203">
        <v>8124</v>
      </c>
      <c r="C23" s="204"/>
      <c r="D23" s="204" t="s">
        <v>221</v>
      </c>
      <c r="E23" s="125"/>
      <c r="F23" s="184">
        <v>-17966</v>
      </c>
      <c r="G23" s="211">
        <v>-17966</v>
      </c>
      <c r="H23" s="211">
        <v>-17966</v>
      </c>
    </row>
    <row r="24" spans="1:8" ht="12.75">
      <c r="A24" s="109">
        <v>19</v>
      </c>
      <c r="B24" s="13">
        <v>8115</v>
      </c>
      <c r="C24" s="110"/>
      <c r="D24" s="204" t="s">
        <v>233</v>
      </c>
      <c r="E24" s="211">
        <v>0</v>
      </c>
      <c r="F24" s="211">
        <v>0</v>
      </c>
      <c r="G24" s="211">
        <v>0</v>
      </c>
      <c r="H24" s="211">
        <v>0</v>
      </c>
    </row>
    <row r="25" spans="1:8" ht="12.75">
      <c r="A25" s="109">
        <v>20</v>
      </c>
      <c r="B25" s="13">
        <v>8123</v>
      </c>
      <c r="C25" s="110"/>
      <c r="D25" s="213" t="s">
        <v>235</v>
      </c>
      <c r="E25" s="176"/>
      <c r="F25" s="176"/>
      <c r="G25" s="211">
        <v>1000</v>
      </c>
      <c r="H25" s="211">
        <v>1000</v>
      </c>
    </row>
    <row r="26" spans="1:8" ht="13.5" thickBot="1">
      <c r="A26" s="46">
        <v>21</v>
      </c>
      <c r="B26" s="15"/>
      <c r="C26" s="47"/>
      <c r="D26" s="47"/>
      <c r="E26" s="34"/>
      <c r="F26" s="177"/>
      <c r="G26" s="177"/>
      <c r="H26" s="177"/>
    </row>
    <row r="27" spans="1:8" ht="13.5" thickBot="1">
      <c r="A27" s="23">
        <v>22</v>
      </c>
      <c r="B27" s="20"/>
      <c r="C27" s="18"/>
      <c r="D27" s="19" t="s">
        <v>73</v>
      </c>
      <c r="E27" s="48">
        <f>SUM(E6:E26)</f>
        <v>4400</v>
      </c>
      <c r="F27" s="48">
        <f>SUM(F6:F26)</f>
        <v>-2035</v>
      </c>
      <c r="G27" s="48">
        <f>SUM(G6:G26)</f>
        <v>-1273</v>
      </c>
      <c r="H27" s="48">
        <f>SUM(H6:H26)</f>
        <v>-395</v>
      </c>
    </row>
    <row r="29" ht="13.5" thickBot="1"/>
    <row r="30" spans="4:8" ht="12.75">
      <c r="D30" s="29" t="s">
        <v>59</v>
      </c>
      <c r="E30" s="30">
        <f>'příjmy 2016'!H89</f>
        <v>100278</v>
      </c>
      <c r="F30" s="30">
        <f>'příjmy 2016'!I89</f>
        <v>98375</v>
      </c>
      <c r="G30" s="30">
        <f>'příjmy 2016'!J89</f>
        <v>102845</v>
      </c>
      <c r="H30" s="30">
        <f>'příjmy 2016'!K89</f>
        <v>104985</v>
      </c>
    </row>
    <row r="31" spans="4:8" ht="12.75">
      <c r="D31" s="31" t="s">
        <v>60</v>
      </c>
      <c r="E31" s="32">
        <f>'výdaje 2016'!G85</f>
        <v>118918</v>
      </c>
      <c r="F31" s="32">
        <f>'výdaje 2016'!H85</f>
        <v>159438</v>
      </c>
      <c r="G31" s="32">
        <f>'výdaje 2016'!I85</f>
        <v>165170</v>
      </c>
      <c r="H31" s="32">
        <f>'výdaje 2016'!J85</f>
        <v>168188</v>
      </c>
    </row>
    <row r="32" spans="4:8" ht="12.75">
      <c r="D32" s="31" t="s">
        <v>78</v>
      </c>
      <c r="E32" s="26">
        <f>E30-E31</f>
        <v>-18640</v>
      </c>
      <c r="F32" s="26">
        <f>F30-F31</f>
        <v>-61063</v>
      </c>
      <c r="G32" s="26">
        <f>G30-G31</f>
        <v>-62325</v>
      </c>
      <c r="H32" s="26">
        <f>H30-H31</f>
        <v>-63203</v>
      </c>
    </row>
    <row r="33" spans="4:8" ht="13.5" thickBot="1">
      <c r="D33" s="33" t="s">
        <v>61</v>
      </c>
      <c r="E33" s="34">
        <f>E27</f>
        <v>4400</v>
      </c>
      <c r="F33" s="34">
        <f>F27</f>
        <v>-2035</v>
      </c>
      <c r="G33" s="34">
        <f>G27</f>
        <v>-1273</v>
      </c>
      <c r="H33" s="34">
        <f>H27</f>
        <v>-395</v>
      </c>
    </row>
    <row r="36" spans="4:8" ht="12.75">
      <c r="D36" s="145" t="s">
        <v>162</v>
      </c>
      <c r="E36">
        <f>E32+E33</f>
        <v>-14240</v>
      </c>
      <c r="F36">
        <f>F32+F33</f>
        <v>-63098</v>
      </c>
      <c r="G36">
        <f>G32+G33</f>
        <v>-63598</v>
      </c>
      <c r="H36">
        <f>H32+H33</f>
        <v>-63598</v>
      </c>
    </row>
    <row r="39" spans="1:11" s="100" customFormat="1" ht="14.25">
      <c r="A39" s="1"/>
      <c r="B39" s="107"/>
      <c r="D39" s="143" t="s">
        <v>161</v>
      </c>
      <c r="E39" s="133">
        <v>14240</v>
      </c>
      <c r="F39" s="133">
        <v>23098</v>
      </c>
      <c r="G39" s="133">
        <f>23098+1500</f>
        <v>24598</v>
      </c>
      <c r="H39" s="133">
        <f>23098+1500</f>
        <v>24598</v>
      </c>
      <c r="K39" s="146"/>
    </row>
    <row r="40" spans="1:8" s="100" customFormat="1" ht="14.25">
      <c r="A40" s="1"/>
      <c r="B40" s="1"/>
      <c r="D40" s="160" t="s">
        <v>188</v>
      </c>
      <c r="E40" s="10"/>
      <c r="F40" s="193">
        <v>40000</v>
      </c>
      <c r="G40" s="193">
        <v>39000</v>
      </c>
      <c r="H40" s="193">
        <v>39000</v>
      </c>
    </row>
    <row r="41" spans="1:8" s="100" customFormat="1" ht="12.75">
      <c r="A41" s="104"/>
      <c r="B41" s="104"/>
      <c r="C41" s="104"/>
      <c r="D41" s="144" t="s">
        <v>152</v>
      </c>
      <c r="E41" s="137">
        <f>SUM(E36:E40)</f>
        <v>0</v>
      </c>
      <c r="F41" s="137">
        <f>SUM(F36:F40)</f>
        <v>0</v>
      </c>
      <c r="G41" s="137">
        <f>SUM(G36:G40)</f>
        <v>0</v>
      </c>
      <c r="H41" s="137">
        <f>SUM(H36:H40)</f>
        <v>0</v>
      </c>
    </row>
    <row r="42" spans="1:8" s="100" customFormat="1" ht="12.75" customHeight="1">
      <c r="A42" s="102"/>
      <c r="B42" s="124"/>
      <c r="C42" s="126"/>
      <c r="D42" s="131"/>
      <c r="E42" s="106"/>
      <c r="F42" s="106"/>
      <c r="G42" s="106"/>
      <c r="H42" s="106"/>
    </row>
    <row r="43" spans="1:8" s="100" customFormat="1" ht="14.25">
      <c r="A43" s="102"/>
      <c r="B43" s="127"/>
      <c r="C43" s="126"/>
      <c r="D43" s="126"/>
      <c r="E43" s="106"/>
      <c r="F43" s="106"/>
      <c r="G43" s="106"/>
      <c r="H43" s="106"/>
    </row>
    <row r="44" spans="1:8" s="100" customFormat="1" ht="14.25">
      <c r="A44" s="102" t="s">
        <v>204</v>
      </c>
      <c r="B44" s="127"/>
      <c r="C44" s="126"/>
      <c r="D44" s="126"/>
      <c r="E44" s="106"/>
      <c r="F44" s="106"/>
      <c r="G44" s="106"/>
      <c r="H44" s="106"/>
    </row>
    <row r="45" spans="1:8" s="100" customFormat="1" ht="15" thickBot="1">
      <c r="A45" s="102"/>
      <c r="B45" s="127"/>
      <c r="C45" s="126"/>
      <c r="D45" s="126"/>
      <c r="E45" s="106"/>
      <c r="F45" s="106"/>
      <c r="G45" s="106"/>
      <c r="H45" s="106"/>
    </row>
    <row r="46" spans="1:7" s="100" customFormat="1" ht="15" thickBot="1">
      <c r="A46" s="102"/>
      <c r="B46" s="127"/>
      <c r="C46" s="330" t="s">
        <v>193</v>
      </c>
      <c r="D46" s="331"/>
      <c r="E46" s="188" t="s">
        <v>178</v>
      </c>
      <c r="F46" s="106"/>
      <c r="G46" s="106"/>
    </row>
    <row r="47" spans="1:7" s="100" customFormat="1" ht="15">
      <c r="A47" s="102"/>
      <c r="B47" s="127"/>
      <c r="C47" s="190">
        <v>26</v>
      </c>
      <c r="D47" s="195" t="s">
        <v>205</v>
      </c>
      <c r="E47" s="168">
        <v>1000</v>
      </c>
      <c r="F47" s="106"/>
      <c r="G47" s="106"/>
    </row>
    <row r="48" spans="1:7" s="100" customFormat="1" ht="15">
      <c r="A48" s="102"/>
      <c r="B48" s="127"/>
      <c r="C48" s="190">
        <v>31</v>
      </c>
      <c r="D48" s="194" t="s">
        <v>206</v>
      </c>
      <c r="E48" s="192">
        <v>400</v>
      </c>
      <c r="F48" s="106"/>
      <c r="G48" s="106"/>
    </row>
    <row r="49" spans="1:7" s="100" customFormat="1" ht="15">
      <c r="A49" s="102"/>
      <c r="B49" s="127"/>
      <c r="C49" s="190">
        <v>44</v>
      </c>
      <c r="D49" s="189" t="s">
        <v>195</v>
      </c>
      <c r="E49" s="192">
        <f>18000+1598</f>
        <v>19598</v>
      </c>
      <c r="F49" s="106"/>
      <c r="G49" s="106"/>
    </row>
    <row r="50" spans="1:7" s="100" customFormat="1" ht="15.75" thickBot="1">
      <c r="A50" s="102"/>
      <c r="B50" s="127"/>
      <c r="C50" s="191">
        <v>50</v>
      </c>
      <c r="D50" s="194" t="s">
        <v>207</v>
      </c>
      <c r="E50" s="169">
        <v>3600</v>
      </c>
      <c r="F50" s="106"/>
      <c r="G50" s="106"/>
    </row>
    <row r="51" spans="1:7" s="100" customFormat="1" ht="15.75" thickBot="1">
      <c r="A51" s="102"/>
      <c r="B51" s="127"/>
      <c r="C51" s="321" t="s">
        <v>187</v>
      </c>
      <c r="D51" s="322"/>
      <c r="E51" s="178">
        <f>SUM(E47:E50)</f>
        <v>24598</v>
      </c>
      <c r="F51" s="106"/>
      <c r="G51" s="106"/>
    </row>
    <row r="52" spans="1:8" s="100" customFormat="1" ht="14.25">
      <c r="A52" s="102"/>
      <c r="B52" s="127"/>
      <c r="C52" s="126"/>
      <c r="D52" s="126"/>
      <c r="E52" s="106"/>
      <c r="F52" s="106"/>
      <c r="G52" s="106"/>
      <c r="H52" s="106"/>
    </row>
    <row r="53" spans="1:8" s="100" customFormat="1" ht="14.25">
      <c r="A53" s="102"/>
      <c r="B53" s="127"/>
      <c r="C53" s="126"/>
      <c r="D53" s="126"/>
      <c r="E53" s="106"/>
      <c r="F53" s="106"/>
      <c r="G53" s="106"/>
      <c r="H53" s="106"/>
    </row>
    <row r="54" spans="1:8" s="100" customFormat="1" ht="14.25">
      <c r="A54" s="102" t="s">
        <v>194</v>
      </c>
      <c r="B54" s="127"/>
      <c r="C54" s="126"/>
      <c r="D54" s="126"/>
      <c r="E54" s="106"/>
      <c r="F54" s="106"/>
      <c r="G54" s="106"/>
      <c r="H54" s="106"/>
    </row>
    <row r="55" spans="1:8" s="100" customFormat="1" ht="15" thickBot="1">
      <c r="A55" s="103"/>
      <c r="B55" s="128"/>
      <c r="C55" s="106"/>
      <c r="D55" s="129"/>
      <c r="E55" s="106"/>
      <c r="F55" s="106"/>
      <c r="G55" s="106"/>
      <c r="H55" s="106"/>
    </row>
    <row r="56" spans="1:8" s="100" customFormat="1" ht="15.75" customHeight="1">
      <c r="A56" s="103"/>
      <c r="B56" s="333" t="s">
        <v>179</v>
      </c>
      <c r="C56" s="161">
        <v>65</v>
      </c>
      <c r="D56" s="167" t="s">
        <v>180</v>
      </c>
      <c r="E56" s="205">
        <v>3500</v>
      </c>
      <c r="F56" s="324" t="s">
        <v>196</v>
      </c>
      <c r="G56" s="325"/>
      <c r="H56" s="326"/>
    </row>
    <row r="57" spans="1:8" s="100" customFormat="1" ht="15.75" customHeight="1">
      <c r="A57" s="103"/>
      <c r="B57" s="334"/>
      <c r="C57" s="162">
        <v>66</v>
      </c>
      <c r="D57" s="164" t="s">
        <v>181</v>
      </c>
      <c r="E57" s="206">
        <v>2000</v>
      </c>
      <c r="F57" s="327" t="s">
        <v>196</v>
      </c>
      <c r="G57" s="328"/>
      <c r="H57" s="329"/>
    </row>
    <row r="58" spans="1:8" s="100" customFormat="1" ht="15.75" customHeight="1">
      <c r="A58" s="103"/>
      <c r="B58" s="334"/>
      <c r="C58" s="162">
        <v>67</v>
      </c>
      <c r="D58" s="164" t="s">
        <v>182</v>
      </c>
      <c r="E58" s="206">
        <v>28400</v>
      </c>
      <c r="F58" s="327" t="s">
        <v>197</v>
      </c>
      <c r="G58" s="328"/>
      <c r="H58" s="329"/>
    </row>
    <row r="59" spans="1:8" s="100" customFormat="1" ht="16.5" customHeight="1">
      <c r="A59" s="103"/>
      <c r="B59" s="334"/>
      <c r="C59" s="162">
        <v>68</v>
      </c>
      <c r="D59" s="165" t="s">
        <v>190</v>
      </c>
      <c r="E59" s="206">
        <v>1000</v>
      </c>
      <c r="F59" s="327" t="s">
        <v>191</v>
      </c>
      <c r="G59" s="328"/>
      <c r="H59" s="329"/>
    </row>
    <row r="60" spans="1:8" s="100" customFormat="1" ht="15.75" customHeight="1">
      <c r="A60" s="103"/>
      <c r="B60" s="334"/>
      <c r="C60" s="162">
        <v>69</v>
      </c>
      <c r="D60" s="165" t="s">
        <v>192</v>
      </c>
      <c r="E60" s="206">
        <v>900</v>
      </c>
      <c r="F60" s="327" t="s">
        <v>191</v>
      </c>
      <c r="G60" s="328"/>
      <c r="H60" s="329"/>
    </row>
    <row r="61" spans="1:8" s="100" customFormat="1" ht="16.5" customHeight="1">
      <c r="A61" s="103"/>
      <c r="B61" s="334"/>
      <c r="C61" s="162">
        <v>70</v>
      </c>
      <c r="D61" s="164" t="s">
        <v>183</v>
      </c>
      <c r="E61" s="206">
        <v>300</v>
      </c>
      <c r="F61" s="327" t="s">
        <v>198</v>
      </c>
      <c r="G61" s="328"/>
      <c r="H61" s="329"/>
    </row>
    <row r="62" spans="1:8" s="100" customFormat="1" ht="16.5" customHeight="1">
      <c r="A62" s="1"/>
      <c r="B62" s="334"/>
      <c r="C62" s="162">
        <v>71</v>
      </c>
      <c r="D62" s="164" t="s">
        <v>184</v>
      </c>
      <c r="E62" s="206">
        <v>100</v>
      </c>
      <c r="F62" s="327" t="s">
        <v>197</v>
      </c>
      <c r="G62" s="328"/>
      <c r="H62" s="329"/>
    </row>
    <row r="63" spans="1:8" s="100" customFormat="1" ht="16.5" customHeight="1">
      <c r="A63" s="1"/>
      <c r="B63" s="334"/>
      <c r="C63" s="162">
        <v>72</v>
      </c>
      <c r="D63" s="164" t="s">
        <v>185</v>
      </c>
      <c r="E63" s="206">
        <v>2000</v>
      </c>
      <c r="F63" s="327" t="s">
        <v>197</v>
      </c>
      <c r="G63" s="328"/>
      <c r="H63" s="329"/>
    </row>
    <row r="64" spans="1:8" s="100" customFormat="1" ht="16.5" customHeight="1" thickBot="1">
      <c r="A64" s="1"/>
      <c r="B64" s="335"/>
      <c r="C64" s="163">
        <v>73</v>
      </c>
      <c r="D64" s="166" t="s">
        <v>186</v>
      </c>
      <c r="E64" s="207">
        <v>1800</v>
      </c>
      <c r="F64" s="336" t="s">
        <v>197</v>
      </c>
      <c r="G64" s="337"/>
      <c r="H64" s="338"/>
    </row>
    <row r="65" spans="1:9" s="100" customFormat="1" ht="23.25" customHeight="1" thickBot="1">
      <c r="A65" s="1"/>
      <c r="B65" s="321" t="s">
        <v>187</v>
      </c>
      <c r="C65" s="323"/>
      <c r="D65" s="322"/>
      <c r="E65" s="208">
        <f>SUM(E56:E64)</f>
        <v>40000</v>
      </c>
      <c r="F65" s="317"/>
      <c r="G65" s="318"/>
      <c r="H65" s="319"/>
      <c r="I65" s="159"/>
    </row>
    <row r="66" spans="1:9" s="100" customFormat="1" ht="12" customHeight="1">
      <c r="A66" s="1"/>
      <c r="B66" s="1"/>
      <c r="H66" s="159"/>
      <c r="I66" s="159"/>
    </row>
    <row r="67" spans="1:9" s="100" customFormat="1" ht="12" customHeight="1">
      <c r="A67" s="1"/>
      <c r="B67" s="1"/>
      <c r="H67" s="159"/>
      <c r="I67" s="159"/>
    </row>
    <row r="68" spans="1:9" s="100" customFormat="1" ht="12" customHeight="1">
      <c r="A68" s="1"/>
      <c r="B68" s="1"/>
      <c r="H68" s="159"/>
      <c r="I68" s="159"/>
    </row>
    <row r="69" spans="1:9" s="100" customFormat="1" ht="12" customHeight="1">
      <c r="A69" s="1"/>
      <c r="B69" s="1"/>
      <c r="D69" s="170"/>
      <c r="H69" s="159"/>
      <c r="I69" s="159"/>
    </row>
    <row r="70" spans="1:9" s="100" customFormat="1" ht="12" customHeight="1">
      <c r="A70" s="1"/>
      <c r="B70" s="1"/>
      <c r="H70" s="159"/>
      <c r="I70" s="159"/>
    </row>
    <row r="71" spans="1:9" s="100" customFormat="1" ht="12" customHeight="1">
      <c r="A71" s="1"/>
      <c r="B71" s="1"/>
      <c r="F71" s="100" t="s">
        <v>225</v>
      </c>
      <c r="H71" s="159"/>
      <c r="I71" s="159"/>
    </row>
    <row r="72" spans="1:6" s="100" customFormat="1" ht="12.75">
      <c r="A72" s="1"/>
      <c r="B72" s="1"/>
      <c r="F72" s="100" t="s">
        <v>226</v>
      </c>
    </row>
    <row r="73" spans="1:2" s="100" customFormat="1" ht="12.75">
      <c r="A73" s="1"/>
      <c r="B73" s="1"/>
    </row>
    <row r="74" spans="1:2" s="100" customFormat="1" ht="12.75">
      <c r="A74" s="1"/>
      <c r="B74" s="1"/>
    </row>
    <row r="75" spans="1:2" s="100" customFormat="1" ht="12.75">
      <c r="A75" s="1"/>
      <c r="B75" s="1"/>
    </row>
    <row r="76" spans="1:4" s="100" customFormat="1" ht="12.75">
      <c r="A76" s="1"/>
      <c r="B76" s="101"/>
      <c r="C76" s="101"/>
      <c r="D76" s="101"/>
    </row>
    <row r="77" spans="1:4" s="100" customFormat="1" ht="12.75">
      <c r="A77" s="1"/>
      <c r="B77" s="101"/>
      <c r="C77" s="101"/>
      <c r="D77" s="81" t="s">
        <v>251</v>
      </c>
    </row>
    <row r="78" spans="1:4" s="100" customFormat="1" ht="12.75">
      <c r="A78" s="1"/>
      <c r="B78" s="101"/>
      <c r="C78" s="101"/>
      <c r="D78" s="81"/>
    </row>
    <row r="80" spans="1:8" ht="12.75">
      <c r="A80" s="320" t="s">
        <v>130</v>
      </c>
      <c r="B80" s="320"/>
      <c r="C80" s="320"/>
      <c r="D80" s="320"/>
      <c r="E80" s="320"/>
      <c r="F80" s="320"/>
      <c r="G80" s="320"/>
      <c r="H80" s="320"/>
    </row>
    <row r="82" ht="12.75">
      <c r="D82" s="81"/>
    </row>
    <row r="83" ht="12.75">
      <c r="B83" s="27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91" ht="12.75">
      <c r="D91" s="55"/>
    </row>
  </sheetData>
  <mergeCells count="17">
    <mergeCell ref="F62:H62"/>
    <mergeCell ref="C46:D46"/>
    <mergeCell ref="A2:D2"/>
    <mergeCell ref="E4:H4"/>
    <mergeCell ref="B56:B64"/>
    <mergeCell ref="F63:H63"/>
    <mergeCell ref="F64:H64"/>
    <mergeCell ref="F65:H65"/>
    <mergeCell ref="A80:H80"/>
    <mergeCell ref="C51:D51"/>
    <mergeCell ref="B65:D65"/>
    <mergeCell ref="F56:H56"/>
    <mergeCell ref="F57:H57"/>
    <mergeCell ref="F58:H58"/>
    <mergeCell ref="F59:H59"/>
    <mergeCell ref="F60:H60"/>
    <mergeCell ref="F61:H61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2016-11-21T13:53:33Z</cp:lastPrinted>
  <dcterms:created xsi:type="dcterms:W3CDTF">2003-01-03T12:32:00Z</dcterms:created>
  <dcterms:modified xsi:type="dcterms:W3CDTF">2016-12-20T11:21:55Z</dcterms:modified>
  <cp:category/>
  <cp:version/>
  <cp:contentType/>
  <cp:contentStatus/>
</cp:coreProperties>
</file>