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ozpočet - vybrané sloupce" sheetId="1" r:id="rId1"/>
  </sheets>
  <definedNames>
    <definedName name="_xlnm.Print_Area" localSheetId="0">'Rozpočet - vybrané sloupce'!$A$1:$F$49</definedName>
  </definedNames>
  <calcPr fullCalcOnLoad="1"/>
</workbook>
</file>

<file path=xl/sharedStrings.xml><?xml version="1.0" encoding="utf-8"?>
<sst xmlns="http://schemas.openxmlformats.org/spreadsheetml/2006/main" count="147" uniqueCount="88">
  <si>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</si>
  <si>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</si>
  <si>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</si>
  <si>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</si>
  <si>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</si>
  <si>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</si>
  <si>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</si>
  <si>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</si>
  <si>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</si>
  <si>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</si>
  <si>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</si>
  <si>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</si>
  <si>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</si>
  <si>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</si>
  <si>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</si>
  <si>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</si>
  <si>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</si>
  <si>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</si>
  <si>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</si>
  <si>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</si>
  <si>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</si>
  <si>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</si>
  <si>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</si>
  <si>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</si>
  <si>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</si>
  <si>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</si>
  <si>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</si>
  <si>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</si>
  <si>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</si>
  <si>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</si>
  <si>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</si>
  <si>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Přípravné a přidružené práce</t>
  </si>
  <si>
    <t>Rozebrání dlažeb ze zámkové dlažby v kamenivu</t>
  </si>
  <si>
    <t>Odstranění asfaltbet.krytu ABS tl. 10 cm do 200 m2</t>
  </si>
  <si>
    <t>Hloubené vykopávky</t>
  </si>
  <si>
    <t>Příplatek za lepivost - hloubení rýh 80 cm v hor.3</t>
  </si>
  <si>
    <t>Hloubení rýh š.do 80 cm v hor.3 do 100 m3, STROJNĚ</t>
  </si>
  <si>
    <t>Příplatek za ztížené hloubení v blízkosti vedení</t>
  </si>
  <si>
    <t>Přemístění výkopku</t>
  </si>
  <si>
    <t>Vodorovné přemístění výkopku z hor.1-4 do 8000 m</t>
  </si>
  <si>
    <t>Konstrukce ze zemin</t>
  </si>
  <si>
    <t>Obsyp potrubí bez prohození sypaniny</t>
  </si>
  <si>
    <t>Podkladní vrstvy komunikací a zpevněných ploch</t>
  </si>
  <si>
    <t>Podklad ze štěrkodrti po zhutnění tloušťky 10 cm</t>
  </si>
  <si>
    <t>Dlažby a předlažby pozemních komunikací a zpevněných ploch</t>
  </si>
  <si>
    <t>Kladení zámkové dlažby tl. 8 cm do drtě tl. 4 cm</t>
  </si>
  <si>
    <t>Potrubí z trub plastických, skleněných a čedičových</t>
  </si>
  <si>
    <t>Montáž trub z tvrdého PVC, gumový kroužek, DN 400</t>
  </si>
  <si>
    <t>M.plast.potrubí ve výkopu na gum.těsnění DN 200 mm</t>
  </si>
  <si>
    <t>Přir.za spoj plast.potrubí na gum.těsn.DN 200 mm</t>
  </si>
  <si>
    <t>Ostatní konstrukce a práce na trubním vedení</t>
  </si>
  <si>
    <t>Zkouška těsnosti kanalizace DN do 300, vodou</t>
  </si>
  <si>
    <t>Zkouška těsnosti kanalizace DN do 400, vodou</t>
  </si>
  <si>
    <t>Osazení plastové šachty z dílů prům.600 mm, Wavin</t>
  </si>
  <si>
    <t>Osazení poklopů litinových s rámem do 50 kg</t>
  </si>
  <si>
    <t>Vpusť horská vč .mříže</t>
  </si>
  <si>
    <t>Hodinové zúčtovací sazby (HZS)</t>
  </si>
  <si>
    <t>HZS- práce spojené s napojováním stávajících sítí</t>
  </si>
  <si>
    <t>Zaměření skutečného stavu</t>
  </si>
  <si>
    <t>Prorážení otvorů a ostatní bourací práce</t>
  </si>
  <si>
    <t>Vybourání otvoru a osazení trubky v šachtě</t>
  </si>
  <si>
    <t>Zemní práce při montážích</t>
  </si>
  <si>
    <t>Zához rýhy  hornina tř. 3, se zhutněním</t>
  </si>
  <si>
    <t>Ostatní materiál</t>
  </si>
  <si>
    <t>Prstenec do uliční vpusti TEGRA 600 C250D400 Wavin</t>
  </si>
  <si>
    <t>Roura šachtová korugovaná  bez hrdla 600/3000 mm</t>
  </si>
  <si>
    <t>Dno šachtové TEGRA 600/315mm typ X pro potrubí KG</t>
  </si>
  <si>
    <t>Těsnění pro šachtové dno DN=600 mm</t>
  </si>
  <si>
    <t>Adaptér teleskopický PP TEGRA 600  D400 Wavin</t>
  </si>
  <si>
    <t>Těsnění k šachtové skruži TEGRA 1000 D=640 mm</t>
  </si>
  <si>
    <t>Přesun hmot, trubní vedení plastová, otevř. výkop</t>
  </si>
  <si>
    <t>Mříž kanalizační litinová</t>
  </si>
  <si>
    <t>M.j.</t>
  </si>
  <si>
    <t>m2</t>
  </si>
  <si>
    <t>m3</t>
  </si>
  <si>
    <t>m</t>
  </si>
  <si>
    <t>kus</t>
  </si>
  <si>
    <t>h</t>
  </si>
  <si>
    <t>t</t>
  </si>
  <si>
    <t>Montáž trub z tvrdého PVC SN 8, gumový kroužek, DN 300</t>
  </si>
  <si>
    <t>Dešťová kanalizace - Frýdlantská ul.</t>
  </si>
  <si>
    <t>CENOVÁ NABÍDKA</t>
  </si>
  <si>
    <t>množství</t>
  </si>
  <si>
    <t>jednotková cena</t>
  </si>
  <si>
    <t>cena celkem</t>
  </si>
  <si>
    <t>Cena celkem bez DPH</t>
  </si>
  <si>
    <t>DPH 20%</t>
  </si>
  <si>
    <t>Cena celkem vč.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</si>
</sst>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"/>
    <numFmt numFmtId="173" formatCode="dd\.mmmm\.yy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10" fillId="11" borderId="0" applyNumberFormat="0" applyBorder="0" applyAlignment="0" applyProtection="0"/>
    <xf numFmtId="0" fontId="16" fillId="12" borderId="2" applyNumberFormat="0" applyAlignment="0" applyProtection="0"/>
    <xf numFmtId="43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Font="0" applyAlignment="0" applyProtection="0"/>
    <xf numFmtId="43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3" borderId="8" applyNumberFormat="0" applyAlignment="0" applyProtection="0"/>
    <xf numFmtId="0" fontId="14" fillId="2" borderId="8" applyNumberFormat="0" applyAlignment="0" applyProtection="0"/>
    <xf numFmtId="0" fontId="13" fillId="2" borderId="9" applyNumberFormat="0" applyAlignment="0" applyProtection="0"/>
    <xf numFmtId="0" fontId="1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</cellStyleXfs>
  <cellXfs count="45">
    <xf numFmtId="0" fontId="1" fillId="0" borderId="0" xfId="0" applyFont="1" applyAlignment="1">
      <alignment vertical="center"/>
    </xf>
    <xf numFmtId="49" fontId="2" fillId="18" borderId="0" xfId="0" applyNumberFormat="1" applyFont="1" applyFill="1" applyBorder="1" applyAlignment="1" applyProtection="1">
      <alignment horizontal="left" vertical="center"/>
      <protection/>
    </xf>
    <xf numFmtId="49" fontId="2" fillId="18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23" fillId="19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wrapText="1"/>
    </xf>
    <xf numFmtId="0" fontId="23" fillId="19" borderId="11" xfId="0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 applyProtection="1">
      <alignment horizontal="left" vertical="center"/>
      <protection/>
    </xf>
    <xf numFmtId="49" fontId="2" fillId="18" borderId="12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23" fillId="19" borderId="14" xfId="0" applyFont="1" applyFill="1" applyBorder="1" applyAlignment="1">
      <alignment/>
    </xf>
    <xf numFmtId="14" fontId="23" fillId="19" borderId="15" xfId="0" applyNumberFormat="1" applyFont="1" applyFill="1" applyBorder="1" applyAlignment="1">
      <alignment/>
    </xf>
    <xf numFmtId="0" fontId="23" fillId="19" borderId="15" xfId="0" applyFont="1" applyFill="1" applyBorder="1" applyAlignment="1">
      <alignment/>
    </xf>
    <xf numFmtId="4" fontId="23" fillId="19" borderId="16" xfId="0" applyNumberFormat="1" applyFont="1" applyFill="1" applyBorder="1" applyAlignment="1">
      <alignment/>
    </xf>
    <xf numFmtId="0" fontId="23" fillId="12" borderId="17" xfId="0" applyFont="1" applyFill="1" applyBorder="1" applyAlignment="1">
      <alignment/>
    </xf>
    <xf numFmtId="0" fontId="23" fillId="12" borderId="13" xfId="0" applyFont="1" applyFill="1" applyBorder="1" applyAlignment="1">
      <alignment/>
    </xf>
    <xf numFmtId="4" fontId="23" fillId="12" borderId="18" xfId="0" applyNumberFormat="1" applyFont="1" applyFill="1" applyBorder="1" applyAlignment="1">
      <alignment/>
    </xf>
    <xf numFmtId="0" fontId="23" fillId="12" borderId="19" xfId="0" applyFont="1" applyFill="1" applyBorder="1" applyAlignment="1">
      <alignment/>
    </xf>
    <xf numFmtId="0" fontId="23" fillId="12" borderId="20" xfId="0" applyFont="1" applyFill="1" applyBorder="1" applyAlignment="1">
      <alignment/>
    </xf>
    <xf numFmtId="4" fontId="23" fillId="12" borderId="21" xfId="0" applyNumberFormat="1" applyFont="1" applyFill="1" applyBorder="1" applyAlignment="1">
      <alignment/>
    </xf>
    <xf numFmtId="49" fontId="2" fillId="18" borderId="22" xfId="0" applyNumberFormat="1" applyFont="1" applyFill="1" applyBorder="1" applyAlignment="1" applyProtection="1">
      <alignment horizontal="left" vertical="center"/>
      <protection/>
    </xf>
    <xf numFmtId="0" fontId="1" fillId="6" borderId="23" xfId="0" applyFont="1" applyFill="1" applyBorder="1" applyAlignment="1">
      <alignment vertical="center"/>
    </xf>
    <xf numFmtId="0" fontId="1" fillId="6" borderId="24" xfId="0" applyFont="1" applyFill="1" applyBorder="1" applyAlignment="1">
      <alignment vertical="center"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2" fillId="18" borderId="25" xfId="0" applyNumberFormat="1" applyFont="1" applyFill="1" applyBorder="1" applyAlignment="1" applyProtection="1">
      <alignment horizontal="left" vertical="center"/>
      <protection/>
    </xf>
    <xf numFmtId="0" fontId="1" fillId="6" borderId="0" xfId="0" applyFont="1" applyFill="1" applyBorder="1" applyAlignment="1">
      <alignment vertical="center"/>
    </xf>
    <xf numFmtId="0" fontId="1" fillId="6" borderId="26" xfId="0" applyFont="1" applyFill="1" applyBorder="1" applyAlignment="1">
      <alignment vertical="center"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Border="1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4" fontId="1" fillId="0" borderId="2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3" fillId="20" borderId="27" xfId="0" applyFont="1" applyFill="1" applyBorder="1" applyAlignment="1">
      <alignment horizontal="left"/>
    </xf>
    <xf numFmtId="0" fontId="23" fillId="20" borderId="28" xfId="0" applyFont="1" applyFill="1" applyBorder="1" applyAlignment="1">
      <alignment horizontal="left"/>
    </xf>
    <xf numFmtId="0" fontId="23" fillId="20" borderId="29" xfId="0" applyFont="1" applyFill="1" applyBorder="1" applyAlignment="1">
      <alignment horizontal="left"/>
    </xf>
    <xf numFmtId="0" fontId="0" fillId="12" borderId="30" xfId="0" applyFill="1" applyBorder="1" applyAlignment="1">
      <alignment/>
    </xf>
    <xf numFmtId="0" fontId="0" fillId="12" borderId="31" xfId="0" applyFill="1" applyBorder="1" applyAlignment="1">
      <alignment/>
    </xf>
  </cellXfs>
  <cellStyles count="44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 [0]" xfId="36"/>
    <cellStyle name="Chybně" xfId="37"/>
    <cellStyle name="Kontrolní buňka" xfId="38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3.7109375" style="0" customWidth="1"/>
    <col min="2" max="2" width="55.8515625" style="0" customWidth="1"/>
    <col min="3" max="3" width="4.28125" style="0" customWidth="1"/>
    <col min="4" max="4" width="12.8515625" style="0" customWidth="1"/>
    <col min="31" max="32" width="12.140625" style="0" hidden="1" customWidth="1"/>
  </cols>
  <sheetData>
    <row r="1" spans="1:6" ht="15.75">
      <c r="A1" s="39" t="s">
        <v>80</v>
      </c>
      <c r="B1" s="39"/>
      <c r="C1" s="39"/>
      <c r="D1" s="39"/>
      <c r="E1" s="39"/>
      <c r="F1" s="39"/>
    </row>
    <row r="2" spans="1:6" ht="13.5" thickBot="1">
      <c r="A2" s="5"/>
      <c r="B2" s="5"/>
      <c r="C2" s="5"/>
      <c r="D2" s="5"/>
      <c r="E2" s="5"/>
      <c r="F2" s="5"/>
    </row>
    <row r="3" spans="1:6" ht="12.75">
      <c r="A3" s="40" t="s">
        <v>81</v>
      </c>
      <c r="B3" s="41"/>
      <c r="C3" s="41"/>
      <c r="D3" s="41"/>
      <c r="E3" s="41"/>
      <c r="F3" s="42"/>
    </row>
    <row r="4" spans="1:6" ht="26.25" thickBot="1">
      <c r="A4" s="43"/>
      <c r="B4" s="44"/>
      <c r="C4" s="6" t="s">
        <v>72</v>
      </c>
      <c r="D4" s="6" t="s">
        <v>82</v>
      </c>
      <c r="E4" s="7" t="s">
        <v>83</v>
      </c>
      <c r="F4" s="8" t="s">
        <v>84</v>
      </c>
    </row>
    <row r="5" spans="1:6" ht="12.75">
      <c r="A5" s="25" t="s">
        <v>0</v>
      </c>
      <c r="B5" s="9" t="s">
        <v>31</v>
      </c>
      <c r="C5" s="9" t="s">
        <v>0</v>
      </c>
      <c r="D5" s="10" t="s">
        <v>0</v>
      </c>
      <c r="E5" s="26"/>
      <c r="F5" s="27"/>
    </row>
    <row r="6" spans="1:32" ht="12.75">
      <c r="A6" s="28" t="s">
        <v>1</v>
      </c>
      <c r="B6" s="11" t="s">
        <v>32</v>
      </c>
      <c r="C6" s="11" t="s">
        <v>73</v>
      </c>
      <c r="D6" s="12">
        <v>25</v>
      </c>
      <c r="E6" s="37"/>
      <c r="F6" s="36">
        <f>D6*E6</f>
        <v>0</v>
      </c>
      <c r="AE6" s="3">
        <f>32.7*0</f>
        <v>0</v>
      </c>
      <c r="AF6" s="3">
        <f>32.7*(1-0)</f>
        <v>32.7</v>
      </c>
    </row>
    <row r="7" spans="1:32" ht="12.75">
      <c r="A7" s="28" t="s">
        <v>2</v>
      </c>
      <c r="B7" s="11" t="s">
        <v>33</v>
      </c>
      <c r="C7" s="11" t="s">
        <v>73</v>
      </c>
      <c r="D7" s="12">
        <v>125</v>
      </c>
      <c r="E7" s="37"/>
      <c r="F7" s="36">
        <f>D7*E7</f>
        <v>0</v>
      </c>
      <c r="AE7" s="3">
        <f>652.03*0.0071315737005966</f>
        <v>4.650000000000001</v>
      </c>
      <c r="AF7" s="3">
        <f>652.03*(1-0.0071315737005966)</f>
        <v>647.38</v>
      </c>
    </row>
    <row r="8" spans="1:6" ht="12.75">
      <c r="A8" s="29" t="s">
        <v>0</v>
      </c>
      <c r="B8" s="1" t="s">
        <v>34</v>
      </c>
      <c r="C8" s="1" t="s">
        <v>0</v>
      </c>
      <c r="D8" s="2" t="s">
        <v>0</v>
      </c>
      <c r="E8" s="30"/>
      <c r="F8" s="31"/>
    </row>
    <row r="9" spans="1:32" ht="12.75">
      <c r="A9" s="28" t="s">
        <v>3</v>
      </c>
      <c r="B9" s="11" t="s">
        <v>35</v>
      </c>
      <c r="C9" s="11" t="s">
        <v>74</v>
      </c>
      <c r="D9" s="12">
        <v>25.34</v>
      </c>
      <c r="E9" s="37"/>
      <c r="F9" s="36">
        <f>D9*E9</f>
        <v>0</v>
      </c>
      <c r="AE9" s="3">
        <f>175.5*0</f>
        <v>0</v>
      </c>
      <c r="AF9" s="3">
        <f>175.5*(1-0)</f>
        <v>175.5</v>
      </c>
    </row>
    <row r="10" spans="1:32" ht="12.75">
      <c r="A10" s="28" t="s">
        <v>4</v>
      </c>
      <c r="B10" s="11" t="s">
        <v>36</v>
      </c>
      <c r="C10" s="11" t="s">
        <v>74</v>
      </c>
      <c r="D10" s="12">
        <v>25.34</v>
      </c>
      <c r="E10" s="37"/>
      <c r="F10" s="36">
        <f>D10*E10</f>
        <v>0</v>
      </c>
      <c r="AE10" s="3">
        <f>268.52*0</f>
        <v>0</v>
      </c>
      <c r="AF10" s="3">
        <f>268.52*(1-0)</f>
        <v>268.52</v>
      </c>
    </row>
    <row r="11" spans="1:32" ht="12.75">
      <c r="A11" s="28" t="s">
        <v>5</v>
      </c>
      <c r="B11" s="11" t="s">
        <v>37</v>
      </c>
      <c r="C11" s="11" t="s">
        <v>74</v>
      </c>
      <c r="D11" s="12">
        <v>6</v>
      </c>
      <c r="E11" s="37"/>
      <c r="F11" s="36">
        <f>D11*E11</f>
        <v>0</v>
      </c>
      <c r="AE11" s="3">
        <f>409.45*0</f>
        <v>0</v>
      </c>
      <c r="AF11" s="3">
        <f>409.45*(1-0)</f>
        <v>409.45</v>
      </c>
    </row>
    <row r="12" spans="1:6" ht="12.75">
      <c r="A12" s="29" t="s">
        <v>0</v>
      </c>
      <c r="B12" s="1" t="s">
        <v>38</v>
      </c>
      <c r="C12" s="1" t="s">
        <v>0</v>
      </c>
      <c r="D12" s="2" t="s">
        <v>0</v>
      </c>
      <c r="E12" s="30"/>
      <c r="F12" s="31"/>
    </row>
    <row r="13" spans="1:32" ht="12.75">
      <c r="A13" s="28" t="s">
        <v>6</v>
      </c>
      <c r="B13" s="11" t="s">
        <v>39</v>
      </c>
      <c r="C13" s="11" t="s">
        <v>74</v>
      </c>
      <c r="D13" s="12">
        <v>25.34</v>
      </c>
      <c r="E13" s="37"/>
      <c r="F13" s="36">
        <f>D13*E13</f>
        <v>0</v>
      </c>
      <c r="AE13" s="3">
        <f>205.82*0</f>
        <v>0</v>
      </c>
      <c r="AF13" s="3">
        <f>205.82*(1-0)</f>
        <v>205.82</v>
      </c>
    </row>
    <row r="14" spans="1:6" ht="12.75">
      <c r="A14" s="29" t="s">
        <v>0</v>
      </c>
      <c r="B14" s="1" t="s">
        <v>40</v>
      </c>
      <c r="C14" s="1" t="s">
        <v>0</v>
      </c>
      <c r="D14" s="2" t="s">
        <v>0</v>
      </c>
      <c r="E14" s="30"/>
      <c r="F14" s="31"/>
    </row>
    <row r="15" spans="1:32" ht="12.75">
      <c r="A15" s="28" t="s">
        <v>7</v>
      </c>
      <c r="B15" s="11" t="s">
        <v>41</v>
      </c>
      <c r="C15" s="11" t="s">
        <v>74</v>
      </c>
      <c r="D15" s="12">
        <v>18.02</v>
      </c>
      <c r="E15" s="37"/>
      <c r="F15" s="36">
        <f>D15*E15</f>
        <v>0</v>
      </c>
      <c r="AE15" s="3">
        <f>819.16*0.586063772645149</f>
        <v>480.0800000000002</v>
      </c>
      <c r="AF15" s="3">
        <f>819.16*(1-0.586063772645149)</f>
        <v>339.07999999999976</v>
      </c>
    </row>
    <row r="16" spans="1:6" ht="12.75">
      <c r="A16" s="29" t="s">
        <v>0</v>
      </c>
      <c r="B16" s="1" t="s">
        <v>42</v>
      </c>
      <c r="C16" s="1" t="s">
        <v>0</v>
      </c>
      <c r="D16" s="2" t="s">
        <v>0</v>
      </c>
      <c r="E16" s="30"/>
      <c r="F16" s="31"/>
    </row>
    <row r="17" spans="1:32" ht="12.75">
      <c r="A17" s="28" t="s">
        <v>8</v>
      </c>
      <c r="B17" s="11" t="s">
        <v>43</v>
      </c>
      <c r="C17" s="11" t="s">
        <v>73</v>
      </c>
      <c r="D17" s="12">
        <v>125</v>
      </c>
      <c r="E17" s="37"/>
      <c r="F17" s="36">
        <f>D17*E17</f>
        <v>0</v>
      </c>
      <c r="AE17" s="3">
        <f>96.06*0.808453050176973</f>
        <v>77.66000000000003</v>
      </c>
      <c r="AF17" s="3">
        <f>96.06*(1-0.808453050176973)</f>
        <v>18.399999999999974</v>
      </c>
    </row>
    <row r="18" spans="1:6" ht="12.75">
      <c r="A18" s="29" t="s">
        <v>0</v>
      </c>
      <c r="B18" s="1" t="s">
        <v>44</v>
      </c>
      <c r="C18" s="1" t="s">
        <v>0</v>
      </c>
      <c r="D18" s="2" t="s">
        <v>0</v>
      </c>
      <c r="E18" s="30"/>
      <c r="F18" s="31"/>
    </row>
    <row r="19" spans="1:32" ht="12.75">
      <c r="A19" s="28" t="s">
        <v>9</v>
      </c>
      <c r="B19" s="11" t="s">
        <v>45</v>
      </c>
      <c r="C19" s="11" t="s">
        <v>73</v>
      </c>
      <c r="D19" s="12">
        <v>21.25</v>
      </c>
      <c r="E19" s="37"/>
      <c r="F19" s="36">
        <f>D19*E19</f>
        <v>0</v>
      </c>
      <c r="AE19" s="3">
        <f>228.08*0.164021396001403</f>
        <v>37.41</v>
      </c>
      <c r="AF19" s="3">
        <f>228.08*(1-0.164021396001403)</f>
        <v>190.67000000000002</v>
      </c>
    </row>
    <row r="20" spans="1:6" ht="12.75">
      <c r="A20" s="29" t="s">
        <v>0</v>
      </c>
      <c r="B20" s="1" t="s">
        <v>46</v>
      </c>
      <c r="C20" s="1" t="s">
        <v>0</v>
      </c>
      <c r="D20" s="2" t="s">
        <v>0</v>
      </c>
      <c r="E20" s="30"/>
      <c r="F20" s="31"/>
    </row>
    <row r="21" spans="1:32" ht="12.75">
      <c r="A21" s="28" t="s">
        <v>10</v>
      </c>
      <c r="B21" s="11" t="s">
        <v>79</v>
      </c>
      <c r="C21" s="11" t="s">
        <v>75</v>
      </c>
      <c r="D21" s="12">
        <v>45.5</v>
      </c>
      <c r="E21" s="37"/>
      <c r="F21" s="36">
        <f>D21*E21</f>
        <v>0</v>
      </c>
      <c r="AE21" s="3">
        <f>730.23*0.956109718855703</f>
        <v>698.18</v>
      </c>
      <c r="AF21" s="3">
        <f>730.23*(1-0.956109718855703)</f>
        <v>32.05000000000003</v>
      </c>
    </row>
    <row r="22" spans="1:32" ht="12.75">
      <c r="A22" s="28" t="s">
        <v>11</v>
      </c>
      <c r="B22" s="11" t="s">
        <v>47</v>
      </c>
      <c r="C22" s="11" t="s">
        <v>75</v>
      </c>
      <c r="D22" s="12">
        <v>8.5</v>
      </c>
      <c r="E22" s="37"/>
      <c r="F22" s="36">
        <f>D22*E22</f>
        <v>0</v>
      </c>
      <c r="AE22" s="3">
        <f>1252.15*0.959357904404424</f>
        <v>1201.2599999999995</v>
      </c>
      <c r="AF22" s="3">
        <f>1252.15*(1-0.959357904404424)</f>
        <v>50.89000000000045</v>
      </c>
    </row>
    <row r="23" spans="1:32" ht="12.75">
      <c r="A23" s="28" t="s">
        <v>12</v>
      </c>
      <c r="B23" s="11" t="s">
        <v>48</v>
      </c>
      <c r="C23" s="11" t="s">
        <v>75</v>
      </c>
      <c r="D23" s="12">
        <v>0.5</v>
      </c>
      <c r="E23" s="37"/>
      <c r="F23" s="36">
        <f>D23*E23</f>
        <v>0</v>
      </c>
      <c r="AE23" s="3">
        <f>84.7*0.00318772136953955</f>
        <v>0.2699999999999999</v>
      </c>
      <c r="AF23" s="3">
        <f>84.7*(1-0.00318772136953955)</f>
        <v>84.42999999999999</v>
      </c>
    </row>
    <row r="24" spans="1:32" ht="12.75">
      <c r="A24" s="28" t="s">
        <v>13</v>
      </c>
      <c r="B24" s="11" t="s">
        <v>49</v>
      </c>
      <c r="C24" s="11" t="s">
        <v>76</v>
      </c>
      <c r="D24" s="12">
        <v>1</v>
      </c>
      <c r="E24" s="37"/>
      <c r="F24" s="36">
        <f>D24*E24</f>
        <v>0</v>
      </c>
      <c r="AE24" s="3">
        <f>169.68*0.00483262611975483</f>
        <v>0.8199999999999995</v>
      </c>
      <c r="AF24" s="3">
        <f>169.68*(1-0.00483262611975483)</f>
        <v>168.85999999999999</v>
      </c>
    </row>
    <row r="25" spans="1:6" ht="12.75">
      <c r="A25" s="29" t="s">
        <v>0</v>
      </c>
      <c r="B25" s="1" t="s">
        <v>50</v>
      </c>
      <c r="C25" s="1" t="s">
        <v>0</v>
      </c>
      <c r="D25" s="2" t="s">
        <v>0</v>
      </c>
      <c r="E25" s="30"/>
      <c r="F25" s="31"/>
    </row>
    <row r="26" spans="1:32" ht="12.75">
      <c r="A26" s="28" t="s">
        <v>14</v>
      </c>
      <c r="B26" s="11" t="s">
        <v>51</v>
      </c>
      <c r="C26" s="11" t="s">
        <v>75</v>
      </c>
      <c r="D26" s="12">
        <v>48.8</v>
      </c>
      <c r="E26" s="37"/>
      <c r="F26" s="36">
        <f>D26*E26</f>
        <v>0</v>
      </c>
      <c r="AE26" s="3">
        <f>26.72*0.111526946107784</f>
        <v>2.9799999999999884</v>
      </c>
      <c r="AF26" s="3">
        <f>26.72*(1-0.111526946107784)</f>
        <v>23.74000000000001</v>
      </c>
    </row>
    <row r="27" spans="1:32" ht="12.75">
      <c r="A27" s="28" t="s">
        <v>15</v>
      </c>
      <c r="B27" s="11" t="s">
        <v>52</v>
      </c>
      <c r="C27" s="11" t="s">
        <v>75</v>
      </c>
      <c r="D27" s="12">
        <v>8.5</v>
      </c>
      <c r="E27" s="37"/>
      <c r="F27" s="36">
        <f>D27*E27</f>
        <v>0</v>
      </c>
      <c r="AE27" s="3">
        <f>32.94*0.160898603521554</f>
        <v>5.299999999999988</v>
      </c>
      <c r="AF27" s="3">
        <f>32.94*(1-0.160898603521554)</f>
        <v>27.640000000000008</v>
      </c>
    </row>
    <row r="28" spans="1:32" ht="12.75">
      <c r="A28" s="28" t="s">
        <v>16</v>
      </c>
      <c r="B28" s="11" t="s">
        <v>53</v>
      </c>
      <c r="C28" s="11" t="s">
        <v>76</v>
      </c>
      <c r="D28" s="12">
        <v>4</v>
      </c>
      <c r="E28" s="37"/>
      <c r="F28" s="36">
        <f>D28*E28</f>
        <v>0</v>
      </c>
      <c r="AE28" s="3">
        <f>325.54*0</f>
        <v>0</v>
      </c>
      <c r="AF28" s="3">
        <f>325.54*(1-0)</f>
        <v>325.54</v>
      </c>
    </row>
    <row r="29" spans="1:32" ht="12.75">
      <c r="A29" s="28" t="s">
        <v>17</v>
      </c>
      <c r="B29" s="11" t="s">
        <v>54</v>
      </c>
      <c r="C29" s="11" t="s">
        <v>76</v>
      </c>
      <c r="D29" s="12">
        <v>4</v>
      </c>
      <c r="E29" s="37"/>
      <c r="F29" s="36">
        <f>D29*E29</f>
        <v>0</v>
      </c>
      <c r="AE29" s="3">
        <f>231.01*0.0239816458161984</f>
        <v>5.539999999999992</v>
      </c>
      <c r="AF29" s="3">
        <f>231.01*(1-0.0239816458161984)</f>
        <v>225.47</v>
      </c>
    </row>
    <row r="30" spans="1:32" ht="12.75">
      <c r="A30" s="28" t="s">
        <v>18</v>
      </c>
      <c r="B30" s="11" t="s">
        <v>55</v>
      </c>
      <c r="C30" s="11" t="s">
        <v>76</v>
      </c>
      <c r="D30" s="12">
        <v>1</v>
      </c>
      <c r="E30" s="37"/>
      <c r="F30" s="36">
        <f>D30*E30</f>
        <v>0</v>
      </c>
      <c r="AE30" s="3">
        <f>34998.65*0.901440198407653</f>
        <v>31549.190000000006</v>
      </c>
      <c r="AF30" s="3">
        <f>34998.65*(1-0.901440198407653)</f>
        <v>3449.459999999996</v>
      </c>
    </row>
    <row r="31" spans="1:6" ht="12.75">
      <c r="A31" s="29" t="s">
        <v>0</v>
      </c>
      <c r="B31" s="1" t="s">
        <v>56</v>
      </c>
      <c r="C31" s="1" t="s">
        <v>0</v>
      </c>
      <c r="D31" s="2" t="s">
        <v>0</v>
      </c>
      <c r="E31" s="30"/>
      <c r="F31" s="31"/>
    </row>
    <row r="32" spans="1:32" ht="12.75">
      <c r="A32" s="28" t="s">
        <v>19</v>
      </c>
      <c r="B32" s="11" t="s">
        <v>57</v>
      </c>
      <c r="C32" s="11" t="s">
        <v>77</v>
      </c>
      <c r="D32" s="12">
        <v>20</v>
      </c>
      <c r="E32" s="37"/>
      <c r="F32" s="36">
        <f>D32*E32</f>
        <v>0</v>
      </c>
      <c r="AE32" s="3">
        <f>206.42*0</f>
        <v>0</v>
      </c>
      <c r="AF32" s="3">
        <f>206.42*(1-0)</f>
        <v>206.42</v>
      </c>
    </row>
    <row r="33" spans="1:32" ht="12.75">
      <c r="A33" s="28" t="s">
        <v>20</v>
      </c>
      <c r="B33" s="11" t="s">
        <v>58</v>
      </c>
      <c r="C33" s="11" t="s">
        <v>76</v>
      </c>
      <c r="D33" s="12">
        <v>1</v>
      </c>
      <c r="E33" s="37"/>
      <c r="F33" s="36">
        <f>D33*E33</f>
        <v>0</v>
      </c>
      <c r="AE33" s="3">
        <f>5000*0</f>
        <v>0</v>
      </c>
      <c r="AF33" s="3">
        <f>5000*(1-0)</f>
        <v>5000</v>
      </c>
    </row>
    <row r="34" spans="1:6" ht="12.75">
      <c r="A34" s="29" t="s">
        <v>0</v>
      </c>
      <c r="B34" s="1" t="s">
        <v>59</v>
      </c>
      <c r="C34" s="1" t="s">
        <v>0</v>
      </c>
      <c r="D34" s="2" t="s">
        <v>0</v>
      </c>
      <c r="E34" s="30"/>
      <c r="F34" s="31"/>
    </row>
    <row r="35" spans="1:32" ht="12.75">
      <c r="A35" s="28" t="s">
        <v>21</v>
      </c>
      <c r="B35" s="11" t="s">
        <v>60</v>
      </c>
      <c r="C35" s="11" t="s">
        <v>76</v>
      </c>
      <c r="D35" s="12">
        <v>1</v>
      </c>
      <c r="E35" s="37"/>
      <c r="F35" s="36">
        <f>D35*E35</f>
        <v>0</v>
      </c>
      <c r="AE35" s="3">
        <f>1700.05*0</f>
        <v>0</v>
      </c>
      <c r="AF35" s="3">
        <f>1700.05*(1-0)</f>
        <v>1700.05</v>
      </c>
    </row>
    <row r="36" spans="1:6" ht="12.75">
      <c r="A36" s="29" t="s">
        <v>0</v>
      </c>
      <c r="B36" s="1" t="s">
        <v>61</v>
      </c>
      <c r="C36" s="1" t="s">
        <v>0</v>
      </c>
      <c r="D36" s="2" t="s">
        <v>0</v>
      </c>
      <c r="E36" s="30"/>
      <c r="F36" s="31"/>
    </row>
    <row r="37" spans="1:32" ht="12.75">
      <c r="A37" s="28" t="s">
        <v>22</v>
      </c>
      <c r="B37" s="11" t="s">
        <v>62</v>
      </c>
      <c r="C37" s="11" t="s">
        <v>75</v>
      </c>
      <c r="D37" s="12">
        <v>55</v>
      </c>
      <c r="E37" s="37"/>
      <c r="F37" s="36">
        <f>D37*E37</f>
        <v>0</v>
      </c>
      <c r="AE37" s="3">
        <f>172.59*0</f>
        <v>0</v>
      </c>
      <c r="AF37" s="3">
        <f>172.59*(1-0)</f>
        <v>172.59</v>
      </c>
    </row>
    <row r="38" spans="1:6" ht="12.75">
      <c r="A38" s="29" t="s">
        <v>0</v>
      </c>
      <c r="B38" s="1" t="s">
        <v>63</v>
      </c>
      <c r="C38" s="1" t="s">
        <v>0</v>
      </c>
      <c r="D38" s="2" t="s">
        <v>0</v>
      </c>
      <c r="E38" s="30"/>
      <c r="F38" s="31"/>
    </row>
    <row r="39" spans="1:32" ht="12.75">
      <c r="A39" s="32" t="s">
        <v>23</v>
      </c>
      <c r="B39" s="13" t="s">
        <v>64</v>
      </c>
      <c r="C39" s="13" t="s">
        <v>76</v>
      </c>
      <c r="D39" s="14">
        <v>4</v>
      </c>
      <c r="E39" s="37"/>
      <c r="F39" s="36">
        <f>D39*E39</f>
        <v>0</v>
      </c>
      <c r="AE39" s="4">
        <f>734.95*1</f>
        <v>734.95</v>
      </c>
      <c r="AF39" s="4">
        <f>734.95*(1-1)</f>
        <v>0</v>
      </c>
    </row>
    <row r="40" spans="1:32" ht="12.75">
      <c r="A40" s="32" t="s">
        <v>24</v>
      </c>
      <c r="B40" s="13" t="s">
        <v>65</v>
      </c>
      <c r="C40" s="13" t="s">
        <v>76</v>
      </c>
      <c r="D40" s="14">
        <v>3</v>
      </c>
      <c r="E40" s="37"/>
      <c r="F40" s="36">
        <f aca="true" t="shared" si="0" ref="F40:F46">D40*E40</f>
        <v>0</v>
      </c>
      <c r="AE40" s="4">
        <f>5871*1</f>
        <v>5871</v>
      </c>
      <c r="AF40" s="4">
        <f>5871*(1-1)</f>
        <v>0</v>
      </c>
    </row>
    <row r="41" spans="1:32" ht="12.75">
      <c r="A41" s="32" t="s">
        <v>25</v>
      </c>
      <c r="B41" s="13" t="s">
        <v>66</v>
      </c>
      <c r="C41" s="13" t="s">
        <v>76</v>
      </c>
      <c r="D41" s="14">
        <v>4</v>
      </c>
      <c r="E41" s="37"/>
      <c r="F41" s="36">
        <f t="shared" si="0"/>
        <v>0</v>
      </c>
      <c r="AE41" s="4">
        <f>8511.92*1</f>
        <v>8511.92</v>
      </c>
      <c r="AF41" s="4">
        <f>8511.92*(1-1)</f>
        <v>0</v>
      </c>
    </row>
    <row r="42" spans="1:32" ht="12.75">
      <c r="A42" s="32" t="s">
        <v>26</v>
      </c>
      <c r="B42" s="13" t="s">
        <v>67</v>
      </c>
      <c r="C42" s="13" t="s">
        <v>76</v>
      </c>
      <c r="D42" s="14">
        <v>4</v>
      </c>
      <c r="E42" s="37"/>
      <c r="F42" s="36">
        <f t="shared" si="0"/>
        <v>0</v>
      </c>
      <c r="AE42" s="4">
        <f>463.5*1</f>
        <v>463.5</v>
      </c>
      <c r="AF42" s="4">
        <f>463.5*(1-1)</f>
        <v>0</v>
      </c>
    </row>
    <row r="43" spans="1:32" ht="12.75">
      <c r="A43" s="32" t="s">
        <v>27</v>
      </c>
      <c r="B43" s="13" t="s">
        <v>68</v>
      </c>
      <c r="C43" s="13" t="s">
        <v>76</v>
      </c>
      <c r="D43" s="14">
        <v>4</v>
      </c>
      <c r="E43" s="37"/>
      <c r="F43" s="36">
        <f t="shared" si="0"/>
        <v>0</v>
      </c>
      <c r="AE43" s="4">
        <f>2781*1</f>
        <v>2781</v>
      </c>
      <c r="AF43" s="4">
        <f>2781*(1-1)</f>
        <v>0</v>
      </c>
    </row>
    <row r="44" spans="1:32" ht="12.75">
      <c r="A44" s="32" t="s">
        <v>28</v>
      </c>
      <c r="B44" s="13" t="s">
        <v>69</v>
      </c>
      <c r="C44" s="13" t="s">
        <v>76</v>
      </c>
      <c r="D44" s="14">
        <v>4</v>
      </c>
      <c r="E44" s="37"/>
      <c r="F44" s="36">
        <f t="shared" si="0"/>
        <v>0</v>
      </c>
      <c r="AE44" s="4">
        <f>369.77*1</f>
        <v>369.77</v>
      </c>
      <c r="AF44" s="4">
        <f>369.77*(1-1)</f>
        <v>0</v>
      </c>
    </row>
    <row r="45" spans="1:32" ht="12.75">
      <c r="A45" s="28" t="s">
        <v>29</v>
      </c>
      <c r="B45" s="11" t="s">
        <v>70</v>
      </c>
      <c r="C45" s="11" t="s">
        <v>78</v>
      </c>
      <c r="D45" s="12">
        <v>4.1949</v>
      </c>
      <c r="E45" s="37"/>
      <c r="F45" s="36">
        <f t="shared" si="0"/>
        <v>0</v>
      </c>
      <c r="AE45" s="3">
        <f>848.53*0</f>
        <v>0</v>
      </c>
      <c r="AF45" s="3">
        <f>848.53*(1-0)</f>
        <v>848.53</v>
      </c>
    </row>
    <row r="46" spans="1:32" ht="13.5" thickBot="1">
      <c r="A46" s="33" t="s">
        <v>30</v>
      </c>
      <c r="B46" s="34" t="s">
        <v>71</v>
      </c>
      <c r="C46" s="34" t="s">
        <v>76</v>
      </c>
      <c r="D46" s="35">
        <v>4</v>
      </c>
      <c r="E46" s="38"/>
      <c r="F46" s="36">
        <f t="shared" si="0"/>
        <v>0</v>
      </c>
      <c r="AE46" s="4">
        <f>3336.84*1</f>
        <v>3336.84</v>
      </c>
      <c r="AF46" s="4">
        <f>3336.84*(1-1)</f>
        <v>0</v>
      </c>
    </row>
    <row r="47" spans="1:6" ht="12.75">
      <c r="A47" s="15"/>
      <c r="B47" s="16" t="s">
        <v>85</v>
      </c>
      <c r="C47" s="17"/>
      <c r="D47" s="17"/>
      <c r="E47" s="17"/>
      <c r="F47" s="18">
        <f>SUM(F6:F7,F9:F11,F13,F15,F17,F19,F21:F24,F26:F30,F32:F33,F35,F37,F39:F46)</f>
        <v>0</v>
      </c>
    </row>
    <row r="48" spans="1:6" ht="12.75">
      <c r="A48" s="19"/>
      <c r="B48" s="20" t="s">
        <v>86</v>
      </c>
      <c r="C48" s="20"/>
      <c r="D48" s="20"/>
      <c r="E48" s="20"/>
      <c r="F48" s="21">
        <f>F47*0.2</f>
        <v>0</v>
      </c>
    </row>
    <row r="49" spans="1:6" ht="13.5" thickBot="1">
      <c r="A49" s="22"/>
      <c r="B49" s="23" t="s">
        <v>87</v>
      </c>
      <c r="C49" s="23"/>
      <c r="D49" s="23"/>
      <c r="E49" s="23"/>
      <c r="F49" s="24">
        <f>SUM(F47:F48)</f>
        <v>0</v>
      </c>
    </row>
  </sheetData>
  <sheetProtection password="C6E2" sheet="1" objects="1" scenarios="1"/>
  <mergeCells count="3">
    <mergeCell ref="A1:F1"/>
    <mergeCell ref="A3:F3"/>
    <mergeCell ref="A4:B4"/>
  </mergeCells>
  <printOptions/>
  <pageMargins left="0.75" right="0.75" top="1" bottom="1" header="0.4921259845" footer="0.4921259845"/>
  <pageSetup horizontalDpi="300" verticalDpi="300" orientation="portrait" paperSize="9" scale="8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Kateřina Pokorná</cp:lastModifiedBy>
  <cp:lastPrinted>2012-10-03T07:00:27Z</cp:lastPrinted>
  <dcterms:created xsi:type="dcterms:W3CDTF">2012-10-03T07:12:57Z</dcterms:created>
  <dcterms:modified xsi:type="dcterms:W3CDTF">2012-10-05T06:01:29Z</dcterms:modified>
  <cp:category/>
  <cp:version/>
  <cp:contentType/>
  <cp:contentStatus/>
</cp:coreProperties>
</file>